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Abril/Nomina Portal Institucional/"/>
    </mc:Choice>
  </mc:AlternateContent>
  <xr:revisionPtr revIDLastSave="0" documentId="8_{D74D58FC-79D0-41B2-A5E8-FE95D6AA3AB0}" xr6:coauthVersionLast="36" xr6:coauthVersionMax="36" xr10:uidLastSave="{00000000-0000-0000-0000-000000000000}"/>
  <bookViews>
    <workbookView xWindow="0" yWindow="0" windowWidth="15330" windowHeight="4470" activeTab="1" xr2:uid="{00000000-000D-0000-FFFF-FFFF00000000}"/>
  </bookViews>
  <sheets>
    <sheet name="Nomina Fijo" sheetId="5" r:id="rId1"/>
    <sheet name="Nomina Temporal  " sheetId="12" r:id="rId2"/>
    <sheet name="Nomina Militar" sheetId="15" r:id="rId3"/>
    <sheet name="Nomina Periodo Probatorio " sheetId="13" r:id="rId4"/>
  </sheets>
  <definedNames>
    <definedName name="_xlnm.Print_Area" localSheetId="0">'Nomina Fijo'!$A$1:$O$65</definedName>
    <definedName name="_xlnm.Print_Area" localSheetId="3">'Nomina Periodo Probatorio '!$A$1:$O$28</definedName>
    <definedName name="_xlnm.Print_Area" localSheetId="1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5" l="1"/>
  <c r="J19" i="12" l="1"/>
  <c r="K19" i="12"/>
  <c r="L19" i="12"/>
  <c r="M19" i="12"/>
  <c r="N19" i="12"/>
  <c r="N22" i="12"/>
  <c r="M22" i="12"/>
  <c r="L22" i="12"/>
  <c r="K22" i="12"/>
  <c r="J22" i="12"/>
  <c r="H22" i="12" s="1"/>
  <c r="O22" i="12" s="1"/>
  <c r="H19" i="12" l="1"/>
  <c r="O19" i="12" s="1"/>
  <c r="G28" i="12"/>
  <c r="G52" i="5"/>
  <c r="E15" i="13" l="1"/>
  <c r="H11" i="13"/>
  <c r="I11" i="13"/>
  <c r="J11" i="13"/>
  <c r="K11" i="13"/>
  <c r="L11" i="13"/>
  <c r="M11" i="13"/>
  <c r="N11" i="13"/>
  <c r="O11" i="13"/>
  <c r="G11" i="13"/>
  <c r="N14" i="5" l="1"/>
  <c r="M14" i="5"/>
  <c r="L14" i="5"/>
  <c r="K14" i="5"/>
  <c r="J14" i="5"/>
  <c r="H14" i="5" l="1"/>
  <c r="O14" i="5" s="1"/>
  <c r="A6" i="15" l="1"/>
  <c r="Q9" i="15"/>
  <c r="E10" i="15"/>
  <c r="J20" i="12"/>
  <c r="K20" i="12"/>
  <c r="L20" i="12"/>
  <c r="M20" i="12"/>
  <c r="N20" i="12"/>
  <c r="N24" i="12"/>
  <c r="M24" i="12"/>
  <c r="L24" i="12"/>
  <c r="K24" i="12"/>
  <c r="J24" i="12"/>
  <c r="H20" i="12" l="1"/>
  <c r="O20" i="12" s="1"/>
  <c r="H24" i="12"/>
  <c r="O24" i="12" s="1"/>
  <c r="A6" i="12"/>
  <c r="N10" i="13"/>
  <c r="M10" i="13"/>
  <c r="L10" i="13"/>
  <c r="K10" i="13"/>
  <c r="J10" i="13"/>
  <c r="H10" i="13" s="1"/>
  <c r="O10" i="13" s="1"/>
  <c r="J40" i="5" l="1"/>
  <c r="K40" i="5"/>
  <c r="L40" i="5"/>
  <c r="M40" i="5"/>
  <c r="N40" i="5"/>
  <c r="H40" i="5" l="1"/>
  <c r="O40" i="5" s="1"/>
  <c r="J13" i="5"/>
  <c r="K13" i="5"/>
  <c r="L13" i="5"/>
  <c r="M13" i="5"/>
  <c r="N13" i="5"/>
  <c r="H13" i="5" l="1"/>
  <c r="O13" i="5" s="1"/>
  <c r="I52" i="5" l="1"/>
  <c r="J11" i="5"/>
  <c r="J12" i="5"/>
  <c r="J15" i="5"/>
  <c r="J16" i="5"/>
  <c r="J19" i="5"/>
  <c r="J20" i="5"/>
  <c r="J18" i="5"/>
  <c r="J21" i="5"/>
  <c r="J22" i="5"/>
  <c r="J23" i="5"/>
  <c r="J26" i="5"/>
  <c r="J25" i="5"/>
  <c r="J28" i="5"/>
  <c r="J29" i="5"/>
  <c r="J30" i="5"/>
  <c r="J32" i="5"/>
  <c r="J34" i="5"/>
  <c r="J33" i="5"/>
  <c r="J35" i="5"/>
  <c r="J36" i="5"/>
  <c r="J37" i="5"/>
  <c r="J38" i="5"/>
  <c r="J42" i="5"/>
  <c r="J43" i="5"/>
  <c r="J44" i="5"/>
  <c r="J47" i="5"/>
  <c r="J49" i="5"/>
  <c r="J48" i="5"/>
  <c r="J51" i="5"/>
  <c r="K11" i="5"/>
  <c r="K12" i="5"/>
  <c r="K15" i="5"/>
  <c r="K16" i="5"/>
  <c r="K19" i="5"/>
  <c r="K20" i="5"/>
  <c r="K18" i="5"/>
  <c r="K21" i="5"/>
  <c r="K22" i="5"/>
  <c r="K23" i="5"/>
  <c r="K26" i="5"/>
  <c r="K25" i="5"/>
  <c r="K28" i="5"/>
  <c r="K29" i="5"/>
  <c r="K30" i="5"/>
  <c r="K32" i="5"/>
  <c r="K34" i="5"/>
  <c r="K33" i="5"/>
  <c r="K35" i="5"/>
  <c r="K36" i="5"/>
  <c r="K37" i="5"/>
  <c r="K38" i="5"/>
  <c r="K42" i="5"/>
  <c r="K43" i="5"/>
  <c r="K44" i="5"/>
  <c r="K47" i="5"/>
  <c r="K49" i="5"/>
  <c r="K48" i="5"/>
  <c r="K51" i="5"/>
  <c r="L11" i="5"/>
  <c r="L12" i="5"/>
  <c r="L15" i="5"/>
  <c r="L16" i="5"/>
  <c r="L19" i="5"/>
  <c r="L20" i="5"/>
  <c r="L18" i="5"/>
  <c r="L21" i="5"/>
  <c r="L22" i="5"/>
  <c r="L23" i="5"/>
  <c r="L26" i="5"/>
  <c r="L25" i="5"/>
  <c r="L28" i="5"/>
  <c r="L29" i="5"/>
  <c r="L30" i="5"/>
  <c r="L32" i="5"/>
  <c r="L34" i="5"/>
  <c r="L33" i="5"/>
  <c r="L35" i="5"/>
  <c r="L36" i="5"/>
  <c r="L37" i="5"/>
  <c r="L38" i="5"/>
  <c r="L42" i="5"/>
  <c r="L43" i="5"/>
  <c r="L44" i="5"/>
  <c r="L47" i="5"/>
  <c r="L49" i="5"/>
  <c r="L48" i="5"/>
  <c r="L51" i="5"/>
  <c r="N11" i="5"/>
  <c r="N12" i="5"/>
  <c r="N15" i="5"/>
  <c r="N16" i="5"/>
  <c r="N19" i="5"/>
  <c r="N20" i="5"/>
  <c r="N18" i="5"/>
  <c r="N21" i="5"/>
  <c r="N22" i="5"/>
  <c r="N23" i="5"/>
  <c r="N26" i="5"/>
  <c r="N25" i="5"/>
  <c r="N28" i="5"/>
  <c r="N29" i="5"/>
  <c r="N30" i="5"/>
  <c r="N32" i="5"/>
  <c r="N34" i="5"/>
  <c r="N33" i="5"/>
  <c r="N35" i="5"/>
  <c r="N36" i="5"/>
  <c r="N37" i="5"/>
  <c r="N38" i="5"/>
  <c r="N42" i="5"/>
  <c r="N43" i="5"/>
  <c r="N44" i="5"/>
  <c r="N47" i="5"/>
  <c r="N49" i="5"/>
  <c r="N48" i="5"/>
  <c r="N51" i="5"/>
  <c r="M51" i="5"/>
  <c r="M48" i="5"/>
  <c r="M49" i="5"/>
  <c r="M47" i="5"/>
  <c r="M44" i="5"/>
  <c r="M43" i="5"/>
  <c r="M42" i="5"/>
  <c r="M32" i="5"/>
  <c r="M38" i="5"/>
  <c r="M37" i="5"/>
  <c r="M36" i="5"/>
  <c r="M35" i="5"/>
  <c r="M33" i="5"/>
  <c r="M34" i="5"/>
  <c r="M11" i="5"/>
  <c r="M12" i="5"/>
  <c r="M15" i="5"/>
  <c r="M16" i="5"/>
  <c r="M19" i="5"/>
  <c r="M20" i="5"/>
  <c r="M18" i="5"/>
  <c r="M21" i="5"/>
  <c r="M22" i="5"/>
  <c r="M23" i="5"/>
  <c r="M26" i="5"/>
  <c r="M25" i="5"/>
  <c r="M28" i="5"/>
  <c r="M29" i="5"/>
  <c r="M30" i="5"/>
  <c r="I28" i="12"/>
  <c r="N27" i="12"/>
  <c r="N26" i="12"/>
  <c r="N18" i="12"/>
  <c r="N16" i="12"/>
  <c r="N15" i="12"/>
  <c r="N13" i="12"/>
  <c r="N12" i="12"/>
  <c r="N11" i="12"/>
  <c r="N10" i="12"/>
  <c r="M27" i="12"/>
  <c r="M26" i="12"/>
  <c r="M18" i="12"/>
  <c r="M16" i="12"/>
  <c r="M15" i="12"/>
  <c r="M13" i="12"/>
  <c r="M12" i="12"/>
  <c r="M11" i="12"/>
  <c r="M10" i="12"/>
  <c r="L13" i="12"/>
  <c r="L12" i="12"/>
  <c r="L11" i="12"/>
  <c r="L10" i="12"/>
  <c r="L16" i="12"/>
  <c r="L15" i="12"/>
  <c r="L18" i="12"/>
  <c r="L27" i="12"/>
  <c r="L26" i="12"/>
  <c r="K27" i="12"/>
  <c r="K26" i="12"/>
  <c r="K18" i="12"/>
  <c r="K16" i="12"/>
  <c r="K15" i="12"/>
  <c r="K13" i="12"/>
  <c r="K12" i="12"/>
  <c r="K11" i="12"/>
  <c r="K10" i="12"/>
  <c r="J27" i="12"/>
  <c r="J26" i="12"/>
  <c r="J18" i="12"/>
  <c r="J13" i="12"/>
  <c r="J12" i="12"/>
  <c r="J11" i="12"/>
  <c r="J10" i="12"/>
  <c r="J16" i="12"/>
  <c r="J15" i="12"/>
  <c r="A6" i="13"/>
  <c r="H11" i="5" l="1"/>
  <c r="H11" i="12"/>
  <c r="O11" i="12" s="1"/>
  <c r="H10" i="12"/>
  <c r="O10" i="12" s="1"/>
  <c r="H12" i="12"/>
  <c r="O12" i="12" s="1"/>
  <c r="H13" i="12"/>
  <c r="O13" i="12" s="1"/>
  <c r="H48" i="5"/>
  <c r="O48" i="5" s="1"/>
  <c r="H43" i="5"/>
  <c r="O43" i="5" s="1"/>
  <c r="H22" i="5"/>
  <c r="O22" i="5" s="1"/>
  <c r="H23" i="5"/>
  <c r="O23" i="5" s="1"/>
  <c r="H42" i="5"/>
  <c r="O42" i="5" s="1"/>
  <c r="H35" i="5"/>
  <c r="O35" i="5" s="1"/>
  <c r="H30" i="5"/>
  <c r="O30" i="5" s="1"/>
  <c r="H26" i="5"/>
  <c r="O26" i="5" s="1"/>
  <c r="H51" i="5"/>
  <c r="O51" i="5" s="1"/>
  <c r="H47" i="5"/>
  <c r="O47" i="5" s="1"/>
  <c r="H38" i="5"/>
  <c r="O38" i="5" s="1"/>
  <c r="H28" i="5"/>
  <c r="O28" i="5" s="1"/>
  <c r="H19" i="5"/>
  <c r="O19" i="5" s="1"/>
  <c r="H49" i="5"/>
  <c r="O49" i="5" s="1"/>
  <c r="H34" i="5"/>
  <c r="O34" i="5" s="1"/>
  <c r="H20" i="5"/>
  <c r="O20" i="5" s="1"/>
  <c r="H36" i="5"/>
  <c r="O36" i="5" s="1"/>
  <c r="H32" i="5"/>
  <c r="O32" i="5" s="1"/>
  <c r="H21" i="5"/>
  <c r="O21" i="5" s="1"/>
  <c r="H25" i="5"/>
  <c r="O25" i="5" s="1"/>
  <c r="H12" i="5"/>
  <c r="O12" i="5" s="1"/>
  <c r="O11" i="5"/>
  <c r="H16" i="5"/>
  <c r="O16" i="5" s="1"/>
  <c r="K52" i="5"/>
  <c r="H44" i="5"/>
  <c r="O44" i="5" s="1"/>
  <c r="H37" i="5"/>
  <c r="O37" i="5" s="1"/>
  <c r="H29" i="5"/>
  <c r="O29" i="5" s="1"/>
  <c r="H18" i="5"/>
  <c r="O18" i="5" s="1"/>
  <c r="M52" i="5"/>
  <c r="H33" i="5"/>
  <c r="O33" i="5" s="1"/>
  <c r="N52" i="5"/>
  <c r="L52" i="5"/>
  <c r="J52" i="5"/>
  <c r="N28" i="12"/>
  <c r="K28" i="12"/>
  <c r="H26" i="12"/>
  <c r="O26" i="12" s="1"/>
  <c r="H16" i="12"/>
  <c r="O16" i="12" s="1"/>
  <c r="H27" i="12"/>
  <c r="O27" i="12" s="1"/>
  <c r="J28" i="12"/>
  <c r="H15" i="12"/>
  <c r="O15" i="12" s="1"/>
  <c r="H18" i="12"/>
  <c r="O18" i="12" s="1"/>
  <c r="L28" i="12"/>
  <c r="M28" i="12"/>
  <c r="E32" i="12" l="1"/>
  <c r="O52" i="5"/>
  <c r="H52" i="5"/>
  <c r="Q10" i="15" l="1"/>
  <c r="I10" i="15"/>
  <c r="J10" i="15"/>
  <c r="H10" i="15"/>
  <c r="F10" i="15"/>
  <c r="G10" i="15" l="1"/>
  <c r="M10" i="15"/>
  <c r="N10" i="15"/>
  <c r="L10" i="15" l="1"/>
  <c r="K10" i="15"/>
  <c r="O10" i="15"/>
  <c r="P10" i="15"/>
  <c r="C12" i="15" s="1"/>
  <c r="O28" i="12" l="1"/>
  <c r="H28" i="12"/>
</calcChain>
</file>

<file path=xl/sharedStrings.xml><?xml version="1.0" encoding="utf-8"?>
<sst xmlns="http://schemas.openxmlformats.org/spreadsheetml/2006/main" count="366" uniqueCount="172">
  <si>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</si>
  <si>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</si>
  <si>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</si>
  <si>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</si>
  <si>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</si>
  <si>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</si>
  <si>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</si>
  <si>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</si>
  <si>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</si>
  <si>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</si>
  <si>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</si>
  <si>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</si>
  <si>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</si>
  <si>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</si>
  <si>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</si>
  <si>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</si>
  <si>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</si>
  <si>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</si>
  <si>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Midori Rosa Magoshi Fernández </t>
  </si>
  <si>
    <t>Conserje</t>
  </si>
  <si>
    <t>Stephanie Aimee Padilla Monegro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</si>
  <si>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</si>
  <si>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</si>
  <si>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</si>
  <si>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</si>
  <si>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</si>
  <si>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</si>
  <si>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</si>
  <si>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</si>
  <si>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</si>
  <si>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</si>
  <si>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</si>
  <si>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</si>
  <si>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</si>
  <si>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</si>
  <si>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</si>
  <si>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</si>
  <si>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</si>
  <si>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</si>
  <si>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</si>
  <si>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</si>
  <si>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</si>
  <si>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</si>
  <si>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</si>
  <si>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</si>
  <si>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</si>
  <si>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</si>
  <si>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</si>
  <si>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</si>
  <si>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</si>
  <si>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</si>
  <si>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Celio Julio Yens De Leon </t>
  </si>
  <si>
    <t xml:space="preserve">Mensajero </t>
  </si>
  <si>
    <t xml:space="preserve">TOTAL </t>
  </si>
  <si>
    <t>Gerkery José Soto Roque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</si>
  <si>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</si>
  <si>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</si>
  <si>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</si>
  <si>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</si>
  <si>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</si>
  <si>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</si>
  <si>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</si>
  <si>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</si>
  <si>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</si>
  <si>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</si>
  <si>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</si>
  <si>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</si>
  <si>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</si>
  <si>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</si>
  <si>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</si>
  <si>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Recursos Amb. Y Ord. Territorial </t>
  </si>
  <si>
    <t xml:space="preserve"> Recursos Humanos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</si>
  <si>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</si>
  <si>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</si>
  <si>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</si>
  <si>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</si>
  <si>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</si>
  <si>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</si>
  <si>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</si>
  <si>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</si>
  <si>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</si>
  <si>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</si>
  <si>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 xml:space="preserve">Priscilla Pamela Vargas Serulle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</si>
  <si>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</si>
  <si>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</si>
  <si>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</si>
  <si>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</si>
  <si>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</si>
  <si>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</si>
  <si>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</si>
  <si>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</si>
  <si>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</si>
  <si>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</si>
  <si>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</si>
  <si>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</si>
  <si>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</si>
  <si>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</si>
  <si>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</si>
  <si>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</si>
  <si>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</si>
  <si>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</si>
  <si>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>Analista de Investigación Geográfica</t>
  </si>
  <si>
    <t xml:space="preserve">Direccion de Geografia </t>
  </si>
  <si>
    <t xml:space="preserve">Direccion de Cartografia 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</si>
  <si>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</si>
  <si>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</si>
  <si>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</si>
  <si>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</si>
  <si>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</si>
  <si>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</si>
  <si>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</si>
  <si>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</si>
  <si>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</si>
  <si>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</si>
  <si>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</si>
  <si>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</si>
  <si>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</si>
  <si>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</si>
  <si>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</si>
  <si>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</si>
  <si>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</si>
  <si>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</si>
  <si>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</si>
  <si>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</si>
  <si>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</si>
  <si>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</si>
  <si>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</si>
  <si>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</si>
  <si>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</si>
  <si>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</si>
  <si>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</si>
  <si>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 xml:space="preserve">Empleado de Carrera </t>
  </si>
  <si>
    <t>Nolan Ricky Durán Quintana</t>
  </si>
  <si>
    <t xml:space="preserve">Director General </t>
  </si>
  <si>
    <t>Maria Antonia Cabrera Rafael</t>
  </si>
  <si>
    <t xml:space="preserve">Temporal </t>
  </si>
  <si>
    <t xml:space="preserve">Saderis Carmona Marte </t>
  </si>
  <si>
    <t>NOMINA DE PAGO DEL PERSONAL EN PERIODO PROBATORIO</t>
  </si>
  <si>
    <t xml:space="preserve">NOMINA DE PAGO DEL PERSONAL TEMPORAL </t>
  </si>
  <si>
    <t>Auxiliar Administrativo</t>
  </si>
  <si>
    <t xml:space="preserve">Analista de Recursos Humanos </t>
  </si>
  <si>
    <t xml:space="preserve">Tecnico de nómina </t>
  </si>
  <si>
    <t>DIRECCION DE GEOGRAFIA - IGN</t>
  </si>
  <si>
    <t>Yunelky Ferrerras Ramirez</t>
  </si>
  <si>
    <t>Sheldin Millord Hernandez</t>
  </si>
  <si>
    <t>Analista de Base de Datos IDE-RD</t>
  </si>
  <si>
    <t>Jose Osvaldo Suarez</t>
  </si>
  <si>
    <t>Analista de Limites y Fronteras</t>
  </si>
  <si>
    <t xml:space="preserve">Direcion de Cartografia </t>
  </si>
  <si>
    <t>NÓMINA PERSONAL SEGURIDAD</t>
  </si>
  <si>
    <t>BENEFICIARIO</t>
  </si>
  <si>
    <t>SUELDO               (RD$)</t>
  </si>
  <si>
    <t xml:space="preserve">SEGURO MÉDICO </t>
  </si>
  <si>
    <t>PDSS</t>
  </si>
  <si>
    <t>TOTAL DESCUENTO</t>
  </si>
  <si>
    <t>Sandy Ruiz</t>
  </si>
  <si>
    <t>Seguridad</t>
  </si>
  <si>
    <t>MONTO ACTUAL PAGADO POR LA INSTITUCIÓN</t>
  </si>
  <si>
    <t xml:space="preserve">DEPARTAMENTO </t>
  </si>
  <si>
    <t xml:space="preserve">Departamento de Infraestructuras de Datos Espaciales </t>
  </si>
  <si>
    <t>Asesora</t>
  </si>
  <si>
    <t xml:space="preserve">Bienvenido Polinis </t>
  </si>
  <si>
    <t xml:space="preserve">Tecnico </t>
  </si>
  <si>
    <t xml:space="preserve">Analista de Limite y Fronteras </t>
  </si>
  <si>
    <t>Lewis Jose Cueto</t>
  </si>
  <si>
    <t>Analista de Investigación Cartografica</t>
  </si>
  <si>
    <t>Edwin Vladimir Medina</t>
  </si>
  <si>
    <t>Analista de Investigacion Geografica</t>
  </si>
  <si>
    <t>Direccion de Geografia</t>
  </si>
  <si>
    <t>Mes: Abril 2023</t>
  </si>
  <si>
    <t>Analista de Coordinación IDE</t>
  </si>
  <si>
    <t>Direccion de Geodesia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</si>
</sst>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43" fontId="2" fillId="0" borderId="6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3" fontId="2" fillId="0" borderId="15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3" fontId="4" fillId="0" borderId="13" xfId="1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29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3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2" fillId="0" borderId="33" xfId="0" applyFont="1" applyFill="1" applyBorder="1" applyAlignment="1">
      <alignment horizontal="center" vertical="center" wrapText="1"/>
    </xf>
    <xf numFmtId="43" fontId="2" fillId="0" borderId="33" xfId="1" applyFont="1" applyFill="1" applyBorder="1" applyAlignment="1">
      <alignment horizontal="center" vertical="center"/>
    </xf>
    <xf numFmtId="43" fontId="2" fillId="0" borderId="34" xfId="1" applyFont="1" applyFill="1" applyBorder="1" applyAlignment="1">
      <alignment horizontal="center"/>
    </xf>
    <xf numFmtId="43" fontId="2" fillId="0" borderId="14" xfId="1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1" fillId="0" borderId="35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" fontId="10" fillId="0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43" fontId="10" fillId="2" borderId="35" xfId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3" fontId="10" fillId="4" borderId="0" xfId="1" applyFont="1" applyFill="1" applyBorder="1" applyAlignment="1">
      <alignment horizontal="center"/>
    </xf>
    <xf numFmtId="43" fontId="10" fillId="0" borderId="9" xfId="0" applyNumberFormat="1" applyFont="1" applyFill="1" applyBorder="1" applyAlignment="1">
      <alignment horizontal="center"/>
    </xf>
    <xf numFmtId="43" fontId="12" fillId="0" borderId="0" xfId="0" applyNumberFormat="1" applyFont="1" applyAlignment="1">
      <alignment horizontal="center"/>
    </xf>
    <xf numFmtId="4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2" fillId="0" borderId="30" xfId="1" applyNumberFormat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/>
    <xf numFmtId="0" fontId="2" fillId="0" borderId="1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2" fillId="0" borderId="19" xfId="1" applyFont="1" applyFill="1" applyBorder="1" applyAlignment="1">
      <alignment horizontal="center"/>
    </xf>
    <xf numFmtId="43" fontId="2" fillId="0" borderId="32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vertical="center"/>
    </xf>
    <xf numFmtId="17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3" fontId="10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67697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3678" y="157573"/>
          <a:ext cx="3106964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2577" y="180579"/>
          <a:ext cx="2944812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E9C40578-6317-43E1-B33F-2A4342E6BF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9393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48828"/>
          <a:ext cx="293687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4"/>
  <sheetViews>
    <sheetView showGridLines="0" zoomScale="70" zoomScaleNormal="70" zoomScaleSheetLayoutView="84" workbookViewId="0"/>
  </sheetViews>
  <sheetFormatPr baseColWidth="10" defaultColWidth="11.42578125" defaultRowHeight="18.75" x14ac:dyDescent="0.3"/>
  <cols>
    <col min="1" max="1" width="6.42578125" style="33" bestFit="1" customWidth="1"/>
    <col min="2" max="2" width="49.85546875" style="33" bestFit="1" customWidth="1"/>
    <col min="3" max="3" width="12.28515625" style="81" bestFit="1" customWidth="1"/>
    <col min="4" max="4" width="44.42578125" style="33" bestFit="1" customWidth="1"/>
    <col min="5" max="5" width="55.42578125" style="33" bestFit="1" customWidth="1"/>
    <col min="6" max="6" width="24.85546875" style="33" bestFit="1" customWidth="1"/>
    <col min="7" max="7" width="22.42578125" style="33" bestFit="1" customWidth="1"/>
    <col min="8" max="8" width="19.85546875" style="33" bestFit="1" customWidth="1"/>
    <col min="9" max="9" width="21.5703125" style="33" bestFit="1" customWidth="1"/>
    <col min="10" max="11" width="21.7109375" style="33" bestFit="1" customWidth="1"/>
    <col min="12" max="12" width="25.5703125" style="33" customWidth="1"/>
    <col min="13" max="13" width="23.42578125" style="33" customWidth="1"/>
    <col min="14" max="14" width="20.140625" style="33" customWidth="1"/>
    <col min="15" max="15" width="21.28515625" style="33" bestFit="1" customWidth="1"/>
    <col min="16" max="16" width="11.42578125" style="33"/>
    <col min="17" max="17" width="14.42578125" style="33" bestFit="1" customWidth="1"/>
    <col min="18" max="16384" width="11.42578125" style="33"/>
  </cols>
  <sheetData>
    <row r="1" spans="1:16" x14ac:dyDescent="0.3">
      <c r="J1" s="34"/>
      <c r="K1" s="34"/>
      <c r="L1" s="34"/>
      <c r="M1" s="34"/>
      <c r="N1" s="34"/>
    </row>
    <row r="2" spans="1:16" x14ac:dyDescent="0.3">
      <c r="A2" s="1"/>
      <c r="B2" s="1"/>
      <c r="C2" s="19"/>
      <c r="D2" s="1"/>
      <c r="E2" s="1"/>
      <c r="F2" s="1"/>
      <c r="G2" s="1"/>
      <c r="H2" s="1"/>
      <c r="I2" s="19"/>
      <c r="J2" s="1"/>
      <c r="K2" s="1"/>
      <c r="L2" s="1"/>
      <c r="M2" s="1"/>
      <c r="N2" s="1"/>
      <c r="O2" s="1"/>
      <c r="P2" s="1"/>
    </row>
    <row r="3" spans="1:16" x14ac:dyDescent="0.3">
      <c r="A3" s="1"/>
      <c r="B3" s="1"/>
      <c r="C3" s="19"/>
      <c r="D3" s="1"/>
      <c r="E3" s="1"/>
      <c r="F3" s="1"/>
      <c r="G3" s="1"/>
      <c r="H3" s="1"/>
      <c r="I3" s="19"/>
      <c r="J3" s="1"/>
      <c r="K3" s="35"/>
      <c r="L3" s="1"/>
      <c r="M3" s="1"/>
      <c r="N3" s="1"/>
      <c r="O3" s="1"/>
      <c r="P3" s="1"/>
    </row>
    <row r="4" spans="1:16" x14ac:dyDescent="0.3">
      <c r="A4" s="1"/>
      <c r="B4" s="1"/>
      <c r="C4" s="19"/>
      <c r="D4" s="1"/>
      <c r="F4" s="1"/>
      <c r="G4" s="1"/>
      <c r="H4" s="1"/>
      <c r="I4" s="19"/>
      <c r="J4" s="1"/>
      <c r="K4" s="1"/>
      <c r="L4" s="1"/>
      <c r="M4" s="1"/>
      <c r="N4" s="1"/>
      <c r="O4" s="1"/>
      <c r="P4" s="1"/>
    </row>
    <row r="5" spans="1:16" x14ac:dyDescent="0.3">
      <c r="A5" s="1"/>
      <c r="B5" s="1"/>
      <c r="C5" s="19"/>
      <c r="D5" s="1"/>
      <c r="E5" s="1"/>
      <c r="F5" s="1"/>
      <c r="G5" s="1"/>
      <c r="H5" s="1"/>
      <c r="I5" s="19"/>
      <c r="J5" s="1"/>
      <c r="K5" s="20"/>
      <c r="L5" s="1"/>
      <c r="M5" s="1"/>
      <c r="N5" s="1"/>
      <c r="O5" s="1"/>
      <c r="P5" s="1"/>
    </row>
    <row r="6" spans="1:16" x14ac:dyDescent="0.3">
      <c r="A6" s="173" t="s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88"/>
    </row>
    <row r="7" spans="1:16" x14ac:dyDescent="0.3">
      <c r="A7" s="188" t="s">
        <v>169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87"/>
    </row>
    <row r="8" spans="1:16" ht="19.5" thickBot="1" x14ac:dyDescent="0.35">
      <c r="A8" s="172" t="s">
        <v>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87"/>
    </row>
    <row r="9" spans="1:16" s="62" customFormat="1" ht="68.25" thickBot="1" x14ac:dyDescent="0.3">
      <c r="A9" s="56" t="s">
        <v>3</v>
      </c>
      <c r="B9" s="57" t="s">
        <v>78</v>
      </c>
      <c r="C9" s="58" t="s">
        <v>115</v>
      </c>
      <c r="D9" s="58" t="s">
        <v>65</v>
      </c>
      <c r="E9" s="59" t="s">
        <v>4</v>
      </c>
      <c r="F9" s="58" t="s">
        <v>5</v>
      </c>
      <c r="G9" s="59" t="s">
        <v>30</v>
      </c>
      <c r="H9" s="58" t="s">
        <v>6</v>
      </c>
      <c r="I9" s="58" t="s">
        <v>7</v>
      </c>
      <c r="J9" s="58" t="s">
        <v>8</v>
      </c>
      <c r="K9" s="58" t="s">
        <v>9</v>
      </c>
      <c r="L9" s="58" t="s">
        <v>10</v>
      </c>
      <c r="M9" s="58" t="s">
        <v>11</v>
      </c>
      <c r="N9" s="58" t="s">
        <v>12</v>
      </c>
      <c r="O9" s="60" t="s">
        <v>13</v>
      </c>
      <c r="P9" s="61"/>
    </row>
    <row r="10" spans="1:16" s="62" customFormat="1" ht="24" thickBot="1" x14ac:dyDescent="0.3">
      <c r="A10" s="182" t="s">
        <v>69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61"/>
    </row>
    <row r="11" spans="1:16" ht="20.25" customHeight="1" x14ac:dyDescent="0.3">
      <c r="A11" s="36">
        <v>1</v>
      </c>
      <c r="B11" s="41" t="s">
        <v>123</v>
      </c>
      <c r="C11" s="70" t="s">
        <v>116</v>
      </c>
      <c r="D11" s="41" t="s">
        <v>69</v>
      </c>
      <c r="E11" s="41" t="s">
        <v>133</v>
      </c>
      <c r="F11" s="71" t="s">
        <v>14</v>
      </c>
      <c r="G11" s="7">
        <v>250000</v>
      </c>
      <c r="H11" s="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7">
        <v>25</v>
      </c>
      <c r="J11" s="7">
        <f>ROUND(IF((G11)&gt;(15600*20),((15600*20)*0.0287),(G11)*0.0287),2)</f>
        <v>7175</v>
      </c>
      <c r="K11" s="7">
        <f>ROUND(IF((G11)&gt;(15600*10),((15600*10)*0.0304),(G11)*0.0304),2)</f>
        <v>4742.3999999999996</v>
      </c>
      <c r="L11" s="7">
        <f>ROUND(IF((G11)&gt;(15600*20),((15600*20)*0.071),(G11)*0.071),2)</f>
        <v>17750</v>
      </c>
      <c r="M11" s="7">
        <f>ROUND(IF((G11)&gt;(15600*10),((15600*10)*0.0709),(G11)*0.0709),2)</f>
        <v>11060.4</v>
      </c>
      <c r="N11" s="7">
        <f>+ROUND(IF(G11&gt;(15600*4),((15600*4)*0.0115),G11*0.0115),2)</f>
        <v>717.6</v>
      </c>
      <c r="O11" s="90">
        <f>+G11-I11-J126-K11-H11-J11</f>
        <v>189954.01</v>
      </c>
      <c r="P11" s="40"/>
    </row>
    <row r="12" spans="1:16" s="66" customFormat="1" x14ac:dyDescent="0.3">
      <c r="A12" s="36">
        <v>2</v>
      </c>
      <c r="B12" s="11" t="s">
        <v>105</v>
      </c>
      <c r="C12" s="76" t="s">
        <v>116</v>
      </c>
      <c r="D12" s="9" t="s">
        <v>69</v>
      </c>
      <c r="E12" s="11" t="s">
        <v>106</v>
      </c>
      <c r="F12" s="54" t="s">
        <v>14</v>
      </c>
      <c r="G12" s="12">
        <v>130000</v>
      </c>
      <c r="H12" s="10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0">
        <v>25</v>
      </c>
      <c r="J12" s="10">
        <f t="shared" ref="J12:J16" si="0">ROUND(IF((G12)&gt;(15600*20),((15600*20)*0.0287),(G12)*0.0287),2)</f>
        <v>3731</v>
      </c>
      <c r="K12" s="10">
        <f t="shared" ref="K12:K16" si="1">ROUND(IF((G12)&gt;(15600*10),((15600*10)*0.0304),(G12)*0.0304),2)</f>
        <v>3952</v>
      </c>
      <c r="L12" s="10">
        <f t="shared" ref="L12:L16" si="2">ROUND(IF((G12)&gt;(15600*20),((15600*20)*0.071),(G12)*0.071),2)</f>
        <v>9230</v>
      </c>
      <c r="M12" s="10">
        <f t="shared" ref="M12:M16" si="3">ROUND(IF((G12)&gt;(15600*10),((15600*10)*0.0709),(G12)*0.0709),2)</f>
        <v>9217</v>
      </c>
      <c r="N12" s="10">
        <f t="shared" ref="N12:N16" si="4">+ROUND(IF(G12&gt;(15600*4),((15600*4)*0.0115),G12*0.0115),2)</f>
        <v>717.6</v>
      </c>
      <c r="O12" s="38">
        <f>+G12-I12-J147-K12-H12-J12</f>
        <v>103129.81</v>
      </c>
    </row>
    <row r="13" spans="1:16" s="107" customFormat="1" x14ac:dyDescent="0.3">
      <c r="A13" s="36">
        <v>3</v>
      </c>
      <c r="B13" s="9" t="s">
        <v>54</v>
      </c>
      <c r="C13" s="76" t="s">
        <v>116</v>
      </c>
      <c r="D13" s="9" t="s">
        <v>69</v>
      </c>
      <c r="E13" s="11" t="s">
        <v>106</v>
      </c>
      <c r="F13" s="37" t="s">
        <v>14</v>
      </c>
      <c r="G13" s="10">
        <v>120000</v>
      </c>
      <c r="H13" s="10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10">
        <v>26</v>
      </c>
      <c r="J13" s="10">
        <f t="shared" ref="J13" si="5">ROUND(IF((G13)&gt;(15600*20),((15600*20)*0.0287),(G13)*0.0287),2)</f>
        <v>3444</v>
      </c>
      <c r="K13" s="10">
        <f t="shared" ref="K13" si="6">ROUND(IF((G13)&gt;(15600*10),((15600*10)*0.0304),(G13)*0.0304),2)</f>
        <v>3648</v>
      </c>
      <c r="L13" s="10">
        <f t="shared" ref="L13" si="7">ROUND(IF((G13)&gt;(15600*20),((15600*20)*0.071),(G13)*0.071),2)</f>
        <v>8520</v>
      </c>
      <c r="M13" s="10">
        <f t="shared" ref="M13" si="8">ROUND(IF((G13)&gt;(15600*10),((15600*10)*0.0709),(G13)*0.0709),2)</f>
        <v>8508</v>
      </c>
      <c r="N13" s="10">
        <f t="shared" ref="N13" si="9">+ROUND(IF(G13&gt;(15600*4),((15600*4)*0.0115),G13*0.0115),2)</f>
        <v>717.6</v>
      </c>
      <c r="O13" s="38">
        <f>+G13-I13-J148-K13-H13-J13</f>
        <v>96072.06</v>
      </c>
    </row>
    <row r="14" spans="1:16" s="117" customFormat="1" x14ac:dyDescent="0.3">
      <c r="A14" s="36">
        <v>4</v>
      </c>
      <c r="B14" s="9" t="s">
        <v>86</v>
      </c>
      <c r="C14" s="69" t="s">
        <v>117</v>
      </c>
      <c r="D14" s="9" t="s">
        <v>69</v>
      </c>
      <c r="E14" s="11" t="s">
        <v>160</v>
      </c>
      <c r="F14" s="71" t="s">
        <v>14</v>
      </c>
      <c r="G14" s="7">
        <v>155000</v>
      </c>
      <c r="H14" s="13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14">
        <v>25</v>
      </c>
      <c r="J14" s="7">
        <f>ROUND(IF((G14)&gt;(15600*20),((15600*20)*0.0287),(G14)*0.0287),2)</f>
        <v>4448.5</v>
      </c>
      <c r="K14" s="7">
        <f>ROUND(IF((G14)&gt;(15600*10),((15600*10)*0.0304),(G14)*0.0304),2)</f>
        <v>4712</v>
      </c>
      <c r="L14" s="7">
        <f>ROUND(IF((G14)&gt;(15600*20),((15600*20)*0.071),(G14)*0.071),2)</f>
        <v>11005</v>
      </c>
      <c r="M14" s="7">
        <f>ROUND(IF((G14)&gt;(15600*10),((15600*10)*0.0709),(G14)*0.0709),2)</f>
        <v>10989.5</v>
      </c>
      <c r="N14" s="7">
        <f>+ROUND(IF(G14&gt;(15600*4),((15600*4)*0.0115),G14*0.0115),2)</f>
        <v>717.6</v>
      </c>
      <c r="O14" s="96">
        <f>+G14-I14-J137-K14-H14-J14</f>
        <v>120771.69</v>
      </c>
    </row>
    <row r="15" spans="1:16" s="64" customFormat="1" x14ac:dyDescent="0.3">
      <c r="A15" s="36">
        <v>5</v>
      </c>
      <c r="B15" s="65" t="s">
        <v>51</v>
      </c>
      <c r="C15" s="54" t="s">
        <v>116</v>
      </c>
      <c r="D15" s="9" t="s">
        <v>69</v>
      </c>
      <c r="E15" s="65" t="s">
        <v>104</v>
      </c>
      <c r="F15" s="37" t="s">
        <v>14</v>
      </c>
      <c r="G15" s="63">
        <v>85000</v>
      </c>
      <c r="H15" s="63">
        <v>8577.06</v>
      </c>
      <c r="I15" s="63">
        <v>25</v>
      </c>
      <c r="J15" s="10">
        <f>ROUND(IF((G15)&gt;(15600*20),((15600*20)*0.0287),(G15)*0.0287),2)</f>
        <v>2439.5</v>
      </c>
      <c r="K15" s="10">
        <f>ROUND(IF((G15)&gt;(15600*10),((15600*10)*0.0304),(G15)*0.0304),2)</f>
        <v>2584</v>
      </c>
      <c r="L15" s="10">
        <f>ROUND(IF((G15)&gt;(15600*20),((15600*20)*0.071),(G15)*0.071),2)</f>
        <v>6035</v>
      </c>
      <c r="M15" s="10">
        <f>ROUND(IF((G15)&gt;(15600*10),((15600*10)*0.0709),(G15)*0.0709),2)</f>
        <v>6026.5</v>
      </c>
      <c r="N15" s="10">
        <f>+ROUND(IF(G15&gt;(15600*4),((15600*4)*0.0115),G15*0.0115),2)</f>
        <v>717.6</v>
      </c>
      <c r="O15" s="74">
        <v>71374.44</v>
      </c>
    </row>
    <row r="16" spans="1:16" ht="19.5" thickBot="1" x14ac:dyDescent="0.35">
      <c r="A16" s="36">
        <v>6</v>
      </c>
      <c r="B16" s="11" t="s">
        <v>21</v>
      </c>
      <c r="C16" s="76" t="s">
        <v>117</v>
      </c>
      <c r="D16" s="11" t="s">
        <v>69</v>
      </c>
      <c r="E16" s="11" t="s">
        <v>22</v>
      </c>
      <c r="F16" s="54" t="s">
        <v>14</v>
      </c>
      <c r="G16" s="12">
        <v>73000</v>
      </c>
      <c r="H16" s="12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12">
        <v>25</v>
      </c>
      <c r="J16" s="12">
        <f t="shared" si="0"/>
        <v>2095.1</v>
      </c>
      <c r="K16" s="12">
        <f t="shared" si="1"/>
        <v>2219.1999999999998</v>
      </c>
      <c r="L16" s="12">
        <f t="shared" si="2"/>
        <v>5183</v>
      </c>
      <c r="M16" s="12">
        <f t="shared" si="3"/>
        <v>5175.7</v>
      </c>
      <c r="N16" s="12">
        <f t="shared" si="4"/>
        <v>717.6</v>
      </c>
      <c r="O16" s="55">
        <f>+G16-I16-J135-K16-H16-J16</f>
        <v>62727.720000000008</v>
      </c>
    </row>
    <row r="17" spans="1:27" s="73" customFormat="1" ht="24" thickBot="1" x14ac:dyDescent="0.35">
      <c r="A17" s="185" t="s">
        <v>118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7"/>
      <c r="S17" s="89"/>
      <c r="T17" s="89"/>
      <c r="U17" s="89"/>
      <c r="V17" s="89"/>
      <c r="W17" s="89"/>
      <c r="X17" s="89"/>
      <c r="Y17" s="89"/>
    </row>
    <row r="18" spans="1:27" s="67" customFormat="1" x14ac:dyDescent="0.3">
      <c r="A18" s="36">
        <v>7</v>
      </c>
      <c r="B18" s="9" t="s">
        <v>50</v>
      </c>
      <c r="C18" s="69" t="s">
        <v>116</v>
      </c>
      <c r="D18" s="9" t="s">
        <v>66</v>
      </c>
      <c r="E18" s="9" t="s">
        <v>139</v>
      </c>
      <c r="F18" s="37" t="s">
        <v>14</v>
      </c>
      <c r="G18" s="10">
        <v>40000</v>
      </c>
      <c r="H18" s="10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10">
        <v>25</v>
      </c>
      <c r="J18" s="10">
        <f>ROUND(IF((G18)&gt;(15600*20),((15600*20)*0.0287),(G18)*0.0287),2)</f>
        <v>1148</v>
      </c>
      <c r="K18" s="10">
        <f>ROUND(IF((G18)&gt;(15600*10),((15600*10)*0.0304),(G18)*0.0304),2)</f>
        <v>1216</v>
      </c>
      <c r="L18" s="10">
        <f>ROUND(IF((G18)&gt;(15600*20),((15600*20)*0.071),(G18)*0.071),2)</f>
        <v>2840</v>
      </c>
      <c r="M18" s="10">
        <f>ROUND(IF((G18)&gt;(15600*10),((15600*10)*0.0709),(G18)*0.0709),2)</f>
        <v>2836</v>
      </c>
      <c r="N18" s="10">
        <f>+ROUND(IF(G18&gt;(15600*4),((15600*4)*0.0115),G18*0.0115),2)</f>
        <v>460</v>
      </c>
      <c r="O18" s="43">
        <f>+G18-H18-I18-J18-K18</f>
        <v>37168.35</v>
      </c>
      <c r="S18" s="33"/>
      <c r="T18" s="33"/>
      <c r="U18" s="33"/>
      <c r="V18" s="33"/>
      <c r="W18" s="33"/>
      <c r="X18" s="33"/>
      <c r="Y18" s="33"/>
    </row>
    <row r="19" spans="1:27" x14ac:dyDescent="0.3">
      <c r="A19" s="36">
        <v>8</v>
      </c>
      <c r="B19" s="41" t="s">
        <v>15</v>
      </c>
      <c r="C19" s="70" t="s">
        <v>116</v>
      </c>
      <c r="D19" s="41" t="s">
        <v>66</v>
      </c>
      <c r="E19" s="41" t="s">
        <v>16</v>
      </c>
      <c r="F19" s="71" t="s">
        <v>14</v>
      </c>
      <c r="G19" s="7">
        <v>25000</v>
      </c>
      <c r="H19" s="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7">
        <v>25</v>
      </c>
      <c r="J19" s="7">
        <f>ROUND(IF((G19)&gt;(15600*20),((15600*20)*0.0287),(G19)*0.0287),2)</f>
        <v>717.5</v>
      </c>
      <c r="K19" s="7">
        <f>ROUND(IF((G19)&gt;(15600*10),((15600*10)*0.0304),(G19)*0.0304),2)</f>
        <v>760</v>
      </c>
      <c r="L19" s="7">
        <f>ROUND(IF((G19)&gt;(15600*20),((15600*20)*0.071),(G19)*0.071),2)</f>
        <v>1775</v>
      </c>
      <c r="M19" s="7">
        <f>ROUND(IF((G19)&gt;(15600*10),((15600*10)*0.0709),(G19)*0.0709),2)</f>
        <v>1772.5</v>
      </c>
      <c r="N19" s="7">
        <f>+ROUND(IF(G19&gt;(15600*4),((15600*4)*0.0115),G19*0.0115),2)</f>
        <v>287.5</v>
      </c>
      <c r="O19" s="90">
        <f>+G19-I19-J124-K19-H19-J19</f>
        <v>23497.5</v>
      </c>
      <c r="P19" s="39"/>
      <c r="S19" s="67"/>
      <c r="T19" s="67"/>
      <c r="U19" s="67"/>
      <c r="V19" s="67"/>
      <c r="W19" s="67"/>
      <c r="X19" s="67"/>
      <c r="Y19" s="67"/>
    </row>
    <row r="20" spans="1:27" x14ac:dyDescent="0.3">
      <c r="A20" s="36">
        <v>9</v>
      </c>
      <c r="B20" s="9" t="s">
        <v>100</v>
      </c>
      <c r="C20" s="69" t="s">
        <v>116</v>
      </c>
      <c r="D20" s="9" t="s">
        <v>66</v>
      </c>
      <c r="E20" s="9" t="s">
        <v>16</v>
      </c>
      <c r="F20" s="37" t="s">
        <v>14</v>
      </c>
      <c r="G20" s="10">
        <v>25000</v>
      </c>
      <c r="H20" s="10">
        <f t="shared" ref="H20:H23" si="10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10">
        <v>25</v>
      </c>
      <c r="J20" s="10">
        <f t="shared" ref="J20:J23" si="11">ROUND(IF((G20)&gt;(15600*20),((15600*20)*0.0287),(G20)*0.0287),2)</f>
        <v>717.5</v>
      </c>
      <c r="K20" s="10">
        <f t="shared" ref="K20:K23" si="12">ROUND(IF((G20)&gt;(15600*10),((15600*10)*0.0304),(G20)*0.0304),2)</f>
        <v>760</v>
      </c>
      <c r="L20" s="10">
        <f t="shared" ref="L20:L23" si="13">ROUND(IF((G20)&gt;(15600*20),((15600*20)*0.071),(G20)*0.071),2)</f>
        <v>1775</v>
      </c>
      <c r="M20" s="10">
        <f t="shared" ref="M20:M23" si="14">ROUND(IF((G20)&gt;(15600*10),((15600*10)*0.0709),(G20)*0.0709),2)</f>
        <v>1772.5</v>
      </c>
      <c r="N20" s="10">
        <f t="shared" ref="N20:N23" si="15">+ROUND(IF(G20&gt;(15600*4),((15600*4)*0.0115),G20*0.0115),2)</f>
        <v>287.5</v>
      </c>
      <c r="O20" s="38">
        <f>+G20-I20-J125-K20-H20-J20</f>
        <v>23497.5</v>
      </c>
      <c r="P20" s="39"/>
      <c r="S20" s="67"/>
      <c r="T20" s="67"/>
      <c r="U20" s="67"/>
      <c r="V20" s="67"/>
      <c r="W20" s="67"/>
      <c r="X20" s="67"/>
      <c r="Y20" s="67"/>
    </row>
    <row r="21" spans="1:27" s="67" customFormat="1" ht="19.5" customHeight="1" x14ac:dyDescent="0.3">
      <c r="A21" s="36">
        <v>10</v>
      </c>
      <c r="B21" s="44" t="s">
        <v>161</v>
      </c>
      <c r="C21" s="82" t="s">
        <v>116</v>
      </c>
      <c r="D21" s="9" t="s">
        <v>66</v>
      </c>
      <c r="E21" s="44" t="s">
        <v>52</v>
      </c>
      <c r="F21" s="37" t="s">
        <v>14</v>
      </c>
      <c r="G21" s="10">
        <v>21000</v>
      </c>
      <c r="H21" s="10">
        <f t="shared" si="10"/>
        <v>0</v>
      </c>
      <c r="I21" s="10">
        <v>25</v>
      </c>
      <c r="J21" s="10">
        <f t="shared" si="11"/>
        <v>602.70000000000005</v>
      </c>
      <c r="K21" s="10">
        <f t="shared" si="12"/>
        <v>638.4</v>
      </c>
      <c r="L21" s="10">
        <f t="shared" si="13"/>
        <v>1491</v>
      </c>
      <c r="M21" s="10">
        <f t="shared" si="14"/>
        <v>1488.9</v>
      </c>
      <c r="N21" s="10">
        <f t="shared" si="15"/>
        <v>241.5</v>
      </c>
      <c r="O21" s="43">
        <f t="shared" ref="O21" si="16">+G21-H21-I21-J21-K21</f>
        <v>19733.899999999998</v>
      </c>
      <c r="S21" s="33"/>
      <c r="T21" s="33"/>
      <c r="U21" s="33"/>
      <c r="V21" s="33"/>
      <c r="W21" s="33"/>
      <c r="X21" s="33"/>
      <c r="Y21" s="33"/>
    </row>
    <row r="22" spans="1:27" x14ac:dyDescent="0.3">
      <c r="A22" s="36">
        <v>11</v>
      </c>
      <c r="B22" s="9" t="s">
        <v>134</v>
      </c>
      <c r="C22" s="69" t="s">
        <v>117</v>
      </c>
      <c r="D22" s="9" t="s">
        <v>66</v>
      </c>
      <c r="E22" s="9" t="s">
        <v>19</v>
      </c>
      <c r="F22" s="37" t="s">
        <v>14</v>
      </c>
      <c r="G22" s="10">
        <v>20000</v>
      </c>
      <c r="H22" s="10">
        <f t="shared" si="10"/>
        <v>0</v>
      </c>
      <c r="I22" s="10">
        <v>25</v>
      </c>
      <c r="J22" s="10">
        <f t="shared" si="11"/>
        <v>574</v>
      </c>
      <c r="K22" s="10">
        <f t="shared" si="12"/>
        <v>608</v>
      </c>
      <c r="L22" s="10">
        <f t="shared" si="13"/>
        <v>1420</v>
      </c>
      <c r="M22" s="10">
        <f t="shared" si="14"/>
        <v>1418</v>
      </c>
      <c r="N22" s="10">
        <f t="shared" si="15"/>
        <v>230</v>
      </c>
      <c r="O22" s="38">
        <f>+G22-I22-J137-K22-H22-J22</f>
        <v>18793</v>
      </c>
    </row>
    <row r="23" spans="1:27" ht="19.5" thickBot="1" x14ac:dyDescent="0.35">
      <c r="A23" s="36">
        <v>12</v>
      </c>
      <c r="B23" s="11" t="s">
        <v>23</v>
      </c>
      <c r="C23" s="76" t="s">
        <v>117</v>
      </c>
      <c r="D23" s="11" t="s">
        <v>66</v>
      </c>
      <c r="E23" s="11" t="s">
        <v>24</v>
      </c>
      <c r="F23" s="54" t="s">
        <v>14</v>
      </c>
      <c r="G23" s="12">
        <v>20000</v>
      </c>
      <c r="H23" s="12">
        <f t="shared" si="10"/>
        <v>0</v>
      </c>
      <c r="I23" s="12">
        <v>25</v>
      </c>
      <c r="J23" s="12">
        <f t="shared" si="11"/>
        <v>574</v>
      </c>
      <c r="K23" s="12">
        <f t="shared" si="12"/>
        <v>608</v>
      </c>
      <c r="L23" s="12">
        <f t="shared" si="13"/>
        <v>1420</v>
      </c>
      <c r="M23" s="12">
        <f t="shared" si="14"/>
        <v>1418</v>
      </c>
      <c r="N23" s="12">
        <f t="shared" si="15"/>
        <v>230</v>
      </c>
      <c r="O23" s="55">
        <f>+G23-I23-J136-K23-H23-J23</f>
        <v>18793</v>
      </c>
    </row>
    <row r="24" spans="1:27" s="67" customFormat="1" ht="23.25" thickBot="1" x14ac:dyDescent="0.35">
      <c r="A24" s="179" t="s">
        <v>121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1"/>
      <c r="S24" s="33"/>
      <c r="T24" s="33"/>
      <c r="U24" s="33"/>
      <c r="V24" s="33"/>
      <c r="W24" s="33"/>
      <c r="X24" s="33"/>
      <c r="Y24" s="33"/>
      <c r="Z24" s="33"/>
      <c r="AA24" s="33"/>
    </row>
    <row r="25" spans="1:27" x14ac:dyDescent="0.3">
      <c r="A25" s="5">
        <v>13</v>
      </c>
      <c r="B25" s="11" t="s">
        <v>20</v>
      </c>
      <c r="C25" s="76" t="s">
        <v>117</v>
      </c>
      <c r="D25" s="9" t="s">
        <v>71</v>
      </c>
      <c r="E25" s="11" t="s">
        <v>140</v>
      </c>
      <c r="F25" s="54" t="s">
        <v>14</v>
      </c>
      <c r="G25" s="12">
        <v>70000</v>
      </c>
      <c r="H25" s="12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12">
        <v>25</v>
      </c>
      <c r="J25" s="12">
        <f t="shared" ref="J25" si="17">ROUND(IF((G25)&gt;(15600*20),((15600*20)*0.0287),(G25)*0.0287),2)</f>
        <v>2009</v>
      </c>
      <c r="K25" s="12">
        <f t="shared" ref="K25" si="18">ROUND(IF((G25)&gt;(15600*10),((15600*10)*0.0304),(G25)*0.0304),2)</f>
        <v>2128</v>
      </c>
      <c r="L25" s="12">
        <f t="shared" ref="L25" si="19">ROUND(IF((G25)&gt;(15600*20),((15600*20)*0.071),(G25)*0.071),2)</f>
        <v>4970</v>
      </c>
      <c r="M25" s="12">
        <f t="shared" ref="M25" si="20">ROUND(IF((G25)&gt;(15600*10),((15600*10)*0.0709),(G25)*0.0709),2)</f>
        <v>4963</v>
      </c>
      <c r="N25" s="12">
        <f t="shared" ref="N25" si="21">+ROUND(IF(G25&gt;(15600*4),((15600*4)*0.0115),G25*0.0115),2)</f>
        <v>717.6</v>
      </c>
      <c r="O25" s="55">
        <f>+G25-I25-J133-K25-H25-J25</f>
        <v>60469.56</v>
      </c>
    </row>
    <row r="26" spans="1:27" ht="19.5" thickBot="1" x14ac:dyDescent="0.35">
      <c r="A26" s="5">
        <v>14</v>
      </c>
      <c r="B26" s="9" t="s">
        <v>17</v>
      </c>
      <c r="C26" s="69" t="s">
        <v>116</v>
      </c>
      <c r="D26" s="9" t="s">
        <v>71</v>
      </c>
      <c r="E26" s="9" t="s">
        <v>141</v>
      </c>
      <c r="F26" s="37" t="s">
        <v>14</v>
      </c>
      <c r="G26" s="10">
        <v>50000</v>
      </c>
      <c r="H26" s="10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10">
        <v>25</v>
      </c>
      <c r="J26" s="10">
        <f>ROUND(IF((G26)&gt;(15600*20),((15600*20)*0.0287),(G26)*0.0287),2)</f>
        <v>1435</v>
      </c>
      <c r="K26" s="10">
        <f>ROUND(IF((G26)&gt;(15600*10),((15600*10)*0.0304),(G26)*0.0304),2)</f>
        <v>1520</v>
      </c>
      <c r="L26" s="10">
        <f>ROUND(IF((G26)&gt;(15600*20),((15600*20)*0.071),(G26)*0.071),2)</f>
        <v>3550</v>
      </c>
      <c r="M26" s="10">
        <f>ROUND(IF((G26)&gt;(15600*10),((15600*10)*0.0709),(G26)*0.0709),2)</f>
        <v>3545</v>
      </c>
      <c r="N26" s="10">
        <f>+ROUND(IF(G26&gt;(15600*4),((15600*4)*0.0115),G26*0.0115),2)</f>
        <v>575</v>
      </c>
      <c r="O26" s="38">
        <f>+G26-I26-J125-K26-H26-J26</f>
        <v>45166</v>
      </c>
      <c r="P26" s="39"/>
      <c r="S26" s="67"/>
      <c r="T26" s="67"/>
      <c r="U26" s="67"/>
      <c r="V26" s="67"/>
      <c r="W26" s="67"/>
      <c r="X26" s="67"/>
      <c r="Y26" s="67"/>
      <c r="Z26" s="67"/>
      <c r="AA26" s="67"/>
    </row>
    <row r="27" spans="1:27" s="67" customFormat="1" ht="23.25" thickBot="1" x14ac:dyDescent="0.35">
      <c r="A27" s="179" t="s">
        <v>114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1"/>
      <c r="S27" s="33"/>
      <c r="T27" s="33"/>
      <c r="U27" s="33"/>
      <c r="V27" s="33"/>
      <c r="W27" s="33"/>
      <c r="X27" s="33"/>
      <c r="Y27" s="33"/>
      <c r="Z27" s="33"/>
      <c r="AA27" s="33"/>
    </row>
    <row r="28" spans="1:27" x14ac:dyDescent="0.3">
      <c r="A28" s="36">
        <v>15</v>
      </c>
      <c r="B28" s="41" t="s">
        <v>18</v>
      </c>
      <c r="C28" s="70" t="s">
        <v>117</v>
      </c>
      <c r="D28" s="41" t="s">
        <v>72</v>
      </c>
      <c r="E28" s="41" t="s">
        <v>128</v>
      </c>
      <c r="F28" s="71" t="s">
        <v>14</v>
      </c>
      <c r="G28" s="7">
        <v>85000</v>
      </c>
      <c r="H28" s="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7">
        <v>25</v>
      </c>
      <c r="J28" s="7">
        <f t="shared" ref="J28:J30" si="22">ROUND(IF((G28)&gt;(15600*20),((15600*20)*0.0287),(G28)*0.0287),2)</f>
        <v>2439.5</v>
      </c>
      <c r="K28" s="7">
        <f t="shared" ref="K28:K30" si="23">ROUND(IF((G28)&gt;(15600*10),((15600*10)*0.0304),(G28)*0.0304),2)</f>
        <v>2584</v>
      </c>
      <c r="L28" s="7">
        <f t="shared" ref="L28:L30" si="24">ROUND(IF((G28)&gt;(15600*20),((15600*20)*0.071),(G28)*0.071),2)</f>
        <v>6035</v>
      </c>
      <c r="M28" s="7">
        <f t="shared" ref="M28:M30" si="25">ROUND(IF((G28)&gt;(15600*10),((15600*10)*0.0709),(G28)*0.0709),2)</f>
        <v>6026.5</v>
      </c>
      <c r="N28" s="7">
        <f t="shared" ref="N28:N30" si="26">+ROUND(IF(G28&gt;(15600*4),((15600*4)*0.0115),G28*0.0115),2)</f>
        <v>717.6</v>
      </c>
      <c r="O28" s="90">
        <f>+G28-I28-J129-K28-H28-J28</f>
        <v>71374.44</v>
      </c>
    </row>
    <row r="29" spans="1:27" x14ac:dyDescent="0.3">
      <c r="A29" s="36">
        <v>16</v>
      </c>
      <c r="B29" s="9" t="s">
        <v>48</v>
      </c>
      <c r="C29" s="69" t="s">
        <v>116</v>
      </c>
      <c r="D29" s="9" t="s">
        <v>74</v>
      </c>
      <c r="E29" s="9" t="s">
        <v>49</v>
      </c>
      <c r="F29" s="37" t="s">
        <v>14</v>
      </c>
      <c r="G29" s="10">
        <v>70000</v>
      </c>
      <c r="H29" s="10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10">
        <v>25</v>
      </c>
      <c r="J29" s="10">
        <f t="shared" si="22"/>
        <v>2009</v>
      </c>
      <c r="K29" s="10">
        <f t="shared" si="23"/>
        <v>2128</v>
      </c>
      <c r="L29" s="10">
        <f t="shared" si="24"/>
        <v>4970</v>
      </c>
      <c r="M29" s="10">
        <f t="shared" si="25"/>
        <v>4963</v>
      </c>
      <c r="N29" s="10">
        <f t="shared" si="26"/>
        <v>717.6</v>
      </c>
      <c r="O29" s="43">
        <f>+G29-H29-I29-J29-K29</f>
        <v>60469.56</v>
      </c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19.5" thickBot="1" x14ac:dyDescent="0.35">
      <c r="A30" s="36">
        <v>17</v>
      </c>
      <c r="B30" s="11" t="s">
        <v>25</v>
      </c>
      <c r="C30" s="76" t="s">
        <v>117</v>
      </c>
      <c r="D30" s="11" t="s">
        <v>67</v>
      </c>
      <c r="E30" s="11" t="s">
        <v>26</v>
      </c>
      <c r="F30" s="54" t="s">
        <v>14</v>
      </c>
      <c r="G30" s="12">
        <v>70000</v>
      </c>
      <c r="H30" s="12">
        <f t="shared" ref="H30" si="27"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12">
        <v>25</v>
      </c>
      <c r="J30" s="12">
        <f t="shared" si="22"/>
        <v>2009</v>
      </c>
      <c r="K30" s="12">
        <f t="shared" si="23"/>
        <v>2128</v>
      </c>
      <c r="L30" s="12">
        <f t="shared" si="24"/>
        <v>4970</v>
      </c>
      <c r="M30" s="12">
        <f t="shared" si="25"/>
        <v>4963</v>
      </c>
      <c r="N30" s="12">
        <f t="shared" si="26"/>
        <v>717.6</v>
      </c>
      <c r="O30" s="55">
        <f>+G30-I30-J138-K30-H30-J30</f>
        <v>60469.56</v>
      </c>
    </row>
    <row r="31" spans="1:27" s="67" customFormat="1" ht="23.25" thickBot="1" x14ac:dyDescent="0.35">
      <c r="A31" s="179" t="s">
        <v>102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1"/>
      <c r="S31" s="33"/>
      <c r="T31" s="33"/>
      <c r="U31" s="33"/>
      <c r="V31" s="33"/>
      <c r="W31" s="33"/>
      <c r="X31" s="33"/>
      <c r="Y31" s="33"/>
      <c r="Z31" s="33"/>
      <c r="AA31" s="33"/>
    </row>
    <row r="32" spans="1:27" x14ac:dyDescent="0.3">
      <c r="A32" s="36">
        <v>18</v>
      </c>
      <c r="B32" s="41" t="s">
        <v>33</v>
      </c>
      <c r="C32" s="70" t="s">
        <v>117</v>
      </c>
      <c r="D32" s="41" t="s">
        <v>108</v>
      </c>
      <c r="E32" s="41" t="s">
        <v>34</v>
      </c>
      <c r="F32" s="71" t="s">
        <v>14</v>
      </c>
      <c r="G32" s="7">
        <v>165000</v>
      </c>
      <c r="H32" s="7">
        <f t="shared" ref="H32:H47" si="28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7">
        <v>25</v>
      </c>
      <c r="J32" s="7">
        <f t="shared" ref="J32:J38" si="29">ROUND(IF((G32)&gt;(15600*20),((15600*20)*0.0287),(G32)*0.0287),2)</f>
        <v>4735.5</v>
      </c>
      <c r="K32" s="7">
        <f t="shared" ref="K32:K38" si="30">ROUND(IF((G32)&gt;(15600*10),((15600*10)*0.0304),(G32)*0.0304),2)</f>
        <v>4742.3999999999996</v>
      </c>
      <c r="L32" s="7">
        <f t="shared" ref="L32:L38" si="31">ROUND(IF((G32)&gt;(15600*20),((15600*20)*0.071),(G32)*0.071),2)</f>
        <v>11715</v>
      </c>
      <c r="M32" s="7">
        <f>ROUND(IF((G32)&gt;(15600*10),((15600*10)*0.0709),(G32)*0.0709),2)</f>
        <v>11060.4</v>
      </c>
      <c r="N32" s="7">
        <f t="shared" ref="N32:N38" si="32">+ROUND(IF(G32&gt;(15600*4),((15600*4)*0.0115),G32*0.0115),2)</f>
        <v>717.6</v>
      </c>
      <c r="O32" s="90">
        <f>+G32-I32-J140-K32-H32-J32</f>
        <v>128033.64000000001</v>
      </c>
    </row>
    <row r="33" spans="1:27" x14ac:dyDescent="0.3">
      <c r="A33" s="36">
        <v>19</v>
      </c>
      <c r="B33" s="9" t="s">
        <v>37</v>
      </c>
      <c r="C33" s="69" t="s">
        <v>117</v>
      </c>
      <c r="D33" s="9" t="s">
        <v>70</v>
      </c>
      <c r="E33" s="9" t="s">
        <v>38</v>
      </c>
      <c r="F33" s="37" t="s">
        <v>14</v>
      </c>
      <c r="G33" s="10">
        <v>140000</v>
      </c>
      <c r="H33" s="10">
        <f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21514.44</v>
      </c>
      <c r="I33" s="10">
        <v>25</v>
      </c>
      <c r="J33" s="10">
        <f>ROUND(IF((G33)&gt;(15600*20),((15600*20)*0.0287),(G33)*0.0287),2)</f>
        <v>4018</v>
      </c>
      <c r="K33" s="10">
        <f>ROUND(IF((G33)&gt;(15600*10),((15600*10)*0.0304),(G33)*0.0304),2)</f>
        <v>4256</v>
      </c>
      <c r="L33" s="10">
        <f>ROUND(IF((G33)&gt;(15600*20),((15600*20)*0.071),(G33)*0.071),2)</f>
        <v>9940</v>
      </c>
      <c r="M33" s="10">
        <f>ROUND(IF((G33)&gt;(15600*10),((15600*10)*0.0709),(G33)*0.0709),2)</f>
        <v>9926</v>
      </c>
      <c r="N33" s="10">
        <f>+ROUND(IF(G33&gt;(15600*4),((15600*4)*0.0115),G33*0.0115),2)</f>
        <v>717.6</v>
      </c>
      <c r="O33" s="38">
        <f>+G33-I33-J142-K33-H33-J33</f>
        <v>110186.56</v>
      </c>
    </row>
    <row r="34" spans="1:27" x14ac:dyDescent="0.3">
      <c r="A34" s="36">
        <v>20</v>
      </c>
      <c r="B34" s="9" t="s">
        <v>31</v>
      </c>
      <c r="C34" s="69" t="s">
        <v>117</v>
      </c>
      <c r="D34" s="9" t="s">
        <v>70</v>
      </c>
      <c r="E34" s="9" t="s">
        <v>32</v>
      </c>
      <c r="F34" s="37" t="s">
        <v>14</v>
      </c>
      <c r="G34" s="10"/>
      <c r="H34" s="10">
        <f>ROUND(IF(((G34-J34-K34)&gt;34685.01)*((G34-J34-K34)&lt;52027.43),(((G34-J34-K34)-34685.01)*0.15),+IF(((G34-J34-K34)&gt;52027.43)*((G34-J34-K34)&lt;72260.26),((((G34-J34-K34)-52027.43)*0.2)+2601.33),+IF((G34-J34-K34)&gt;72260.26,(((G34-J34-K34)-72260.26)*25%)+6648,0))),2)</f>
        <v>0</v>
      </c>
      <c r="I34" s="10">
        <v>25</v>
      </c>
      <c r="J34" s="10">
        <f>ROUND(IF((G34)&gt;(15600*20),((15600*20)*0.0287),(G34)*0.0287),2)</f>
        <v>0</v>
      </c>
      <c r="K34" s="10">
        <f>ROUND(IF((G34)&gt;(15600*10),((15600*10)*0.0304),(G34)*0.0304),2)</f>
        <v>0</v>
      </c>
      <c r="L34" s="10">
        <f>ROUND(IF((G34)&gt;(15600*20),((15600*20)*0.071),(G34)*0.071),2)</f>
        <v>0</v>
      </c>
      <c r="M34" s="10">
        <f>ROUND(IF((G34)&gt;(15600*10),((15600*10)*0.0709),(G34)*0.0709),2)</f>
        <v>0</v>
      </c>
      <c r="N34" s="10">
        <f>+ROUND(IF(G34&gt;(15600*4),((15600*4)*0.0115),G34*0.0115),2)</f>
        <v>0</v>
      </c>
      <c r="O34" s="38">
        <f>+G34-I34-J141-K34-H34-J34</f>
        <v>-25</v>
      </c>
    </row>
    <row r="35" spans="1:27" x14ac:dyDescent="0.3">
      <c r="A35" s="36">
        <v>21</v>
      </c>
      <c r="B35" s="9" t="s">
        <v>55</v>
      </c>
      <c r="C35" s="69" t="s">
        <v>117</v>
      </c>
      <c r="D35" s="9" t="s">
        <v>70</v>
      </c>
      <c r="E35" s="44" t="s">
        <v>56</v>
      </c>
      <c r="F35" s="37" t="s">
        <v>14</v>
      </c>
      <c r="G35" s="10">
        <v>60000</v>
      </c>
      <c r="H35" s="10">
        <f t="shared" si="28"/>
        <v>3486.64</v>
      </c>
      <c r="I35" s="10">
        <v>25</v>
      </c>
      <c r="J35" s="10">
        <f t="shared" si="29"/>
        <v>1722</v>
      </c>
      <c r="K35" s="10">
        <f t="shared" si="30"/>
        <v>1824</v>
      </c>
      <c r="L35" s="10">
        <f t="shared" si="31"/>
        <v>4260</v>
      </c>
      <c r="M35" s="10">
        <f t="shared" ref="M35:M38" si="33">ROUND(IF((G35)&gt;(15600*10),((15600*10)*0.0709),(G35)*0.0709),2)</f>
        <v>4254</v>
      </c>
      <c r="N35" s="10">
        <f t="shared" si="32"/>
        <v>690</v>
      </c>
      <c r="O35" s="38">
        <f>+G35-I35-J143-K35-H35-J35</f>
        <v>52942.36</v>
      </c>
    </row>
    <row r="36" spans="1:27" x14ac:dyDescent="0.3">
      <c r="A36" s="36">
        <v>22</v>
      </c>
      <c r="B36" s="9" t="s">
        <v>57</v>
      </c>
      <c r="C36" s="69" t="s">
        <v>117</v>
      </c>
      <c r="D36" s="9" t="s">
        <v>70</v>
      </c>
      <c r="E36" s="44" t="s">
        <v>56</v>
      </c>
      <c r="F36" s="37" t="s">
        <v>14</v>
      </c>
      <c r="G36" s="10">
        <v>60000</v>
      </c>
      <c r="H36" s="10">
        <f t="shared" si="28"/>
        <v>3486.64</v>
      </c>
      <c r="I36" s="10">
        <v>25</v>
      </c>
      <c r="J36" s="10">
        <f t="shared" si="29"/>
        <v>1722</v>
      </c>
      <c r="K36" s="10">
        <f t="shared" si="30"/>
        <v>1824</v>
      </c>
      <c r="L36" s="10">
        <f t="shared" si="31"/>
        <v>4260</v>
      </c>
      <c r="M36" s="10">
        <f t="shared" si="33"/>
        <v>4254</v>
      </c>
      <c r="N36" s="10">
        <f t="shared" si="32"/>
        <v>690</v>
      </c>
      <c r="O36" s="38">
        <f>+G36-I36-J144-K36-H36-J36</f>
        <v>52942.36</v>
      </c>
    </row>
    <row r="37" spans="1:27" x14ac:dyDescent="0.3">
      <c r="A37" s="36">
        <v>23</v>
      </c>
      <c r="B37" s="9" t="s">
        <v>60</v>
      </c>
      <c r="C37" s="69" t="s">
        <v>117</v>
      </c>
      <c r="D37" s="9" t="s">
        <v>70</v>
      </c>
      <c r="E37" s="44" t="s">
        <v>61</v>
      </c>
      <c r="F37" s="37" t="s">
        <v>14</v>
      </c>
      <c r="G37" s="10">
        <v>70000</v>
      </c>
      <c r="H37" s="10">
        <f t="shared" si="28"/>
        <v>5368.44</v>
      </c>
      <c r="I37" s="10">
        <v>25</v>
      </c>
      <c r="J37" s="10">
        <f t="shared" si="29"/>
        <v>2009</v>
      </c>
      <c r="K37" s="10">
        <f t="shared" si="30"/>
        <v>2128</v>
      </c>
      <c r="L37" s="10">
        <f t="shared" si="31"/>
        <v>4970</v>
      </c>
      <c r="M37" s="10">
        <f t="shared" si="33"/>
        <v>4963</v>
      </c>
      <c r="N37" s="10">
        <f t="shared" si="32"/>
        <v>717.6</v>
      </c>
      <c r="O37" s="38">
        <f>+G37-I37-J146-K37-H37-J37</f>
        <v>60469.56</v>
      </c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9.5" thickBot="1" x14ac:dyDescent="0.35">
      <c r="A38" s="36">
        <v>24</v>
      </c>
      <c r="B38" s="15" t="s">
        <v>46</v>
      </c>
      <c r="C38" s="95" t="s">
        <v>117</v>
      </c>
      <c r="D38" s="41" t="s">
        <v>108</v>
      </c>
      <c r="E38" s="15" t="s">
        <v>47</v>
      </c>
      <c r="F38" s="54" t="s">
        <v>14</v>
      </c>
      <c r="G38" s="14">
        <v>40000</v>
      </c>
      <c r="H38" s="12">
        <f t="shared" si="28"/>
        <v>442.65</v>
      </c>
      <c r="I38" s="14">
        <v>25</v>
      </c>
      <c r="J38" s="12">
        <f t="shared" si="29"/>
        <v>1148</v>
      </c>
      <c r="K38" s="12">
        <f t="shared" si="30"/>
        <v>1216</v>
      </c>
      <c r="L38" s="12">
        <f t="shared" si="31"/>
        <v>2840</v>
      </c>
      <c r="M38" s="12">
        <f t="shared" si="33"/>
        <v>2836</v>
      </c>
      <c r="N38" s="12">
        <f t="shared" si="32"/>
        <v>460</v>
      </c>
      <c r="O38" s="55">
        <f>+G38-I38-J147-K38-H38-J38</f>
        <v>37168.35</v>
      </c>
    </row>
    <row r="39" spans="1:27" s="109" customFormat="1" ht="23.25" customHeight="1" thickBot="1" x14ac:dyDescent="0.35">
      <c r="A39" s="189" t="s">
        <v>129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1:27" s="113" customFormat="1" ht="23.25" customHeight="1" thickBot="1" x14ac:dyDescent="0.35">
      <c r="A40" s="36">
        <v>25</v>
      </c>
      <c r="B40" s="41" t="s">
        <v>132</v>
      </c>
      <c r="C40" s="70" t="s">
        <v>116</v>
      </c>
      <c r="D40" s="6" t="s">
        <v>171</v>
      </c>
      <c r="E40" s="6" t="s">
        <v>111</v>
      </c>
      <c r="F40" s="54" t="s">
        <v>14</v>
      </c>
      <c r="G40" s="7">
        <v>52000</v>
      </c>
      <c r="H40" s="7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7">
        <v>25</v>
      </c>
      <c r="J40" s="7">
        <f>ROUND(IF((G40)&gt;(15600*20),((15600*20)*0.0287),(G40)*0.0287),2)</f>
        <v>1492.4</v>
      </c>
      <c r="K40" s="7">
        <f>ROUND(IF((G40)&gt;(15600*10),((15600*10)*0.0304),(G40)*0.0304),2)</f>
        <v>1580.8</v>
      </c>
      <c r="L40" s="7">
        <f>ROUND(IF((G40)&gt;(15600*20),((15600*20)*0.071),(G40)*0.071),2)</f>
        <v>3692</v>
      </c>
      <c r="M40" s="7">
        <f>ROUND(IF((G40)&gt;(15600*10),((15600*10)*0.0709),(G40)*0.0709),2)</f>
        <v>3686.8</v>
      </c>
      <c r="N40" s="7">
        <f>+ROUND(IF(G40&gt;(15600*4),((15600*4)*0.0115),G40*0.0115),2)</f>
        <v>598</v>
      </c>
      <c r="O40" s="42">
        <f>+G40-H40-I40-J40-K40</f>
        <v>46765.53</v>
      </c>
    </row>
    <row r="41" spans="1:27" s="67" customFormat="1" ht="23.25" thickBot="1" x14ac:dyDescent="0.35">
      <c r="A41" s="179" t="s">
        <v>113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1"/>
      <c r="S41" s="33"/>
      <c r="T41" s="33"/>
      <c r="U41" s="33"/>
      <c r="V41" s="33"/>
      <c r="W41" s="33"/>
      <c r="X41" s="33"/>
      <c r="Y41" s="33"/>
      <c r="Z41" s="33"/>
      <c r="AA41" s="33"/>
    </row>
    <row r="42" spans="1:27" x14ac:dyDescent="0.3">
      <c r="A42" s="36">
        <v>26</v>
      </c>
      <c r="B42" s="41" t="s">
        <v>35</v>
      </c>
      <c r="C42" s="70" t="s">
        <v>117</v>
      </c>
      <c r="D42" s="9" t="s">
        <v>103</v>
      </c>
      <c r="E42" s="41" t="s">
        <v>36</v>
      </c>
      <c r="F42" s="71" t="s">
        <v>14</v>
      </c>
      <c r="G42" s="7">
        <v>165000</v>
      </c>
      <c r="H42" s="7">
        <f t="shared" si="28"/>
        <v>27463.46</v>
      </c>
      <c r="I42" s="7">
        <v>25</v>
      </c>
      <c r="J42" s="7">
        <f t="shared" ref="J42:J47" si="34">ROUND(IF((G42)&gt;(15600*20),((15600*20)*0.0287),(G42)*0.0287),2)</f>
        <v>4735.5</v>
      </c>
      <c r="K42" s="7">
        <f t="shared" ref="K42:K47" si="35">ROUND(IF((G42)&gt;(15600*10),((15600*10)*0.0304),(G42)*0.0304),2)</f>
        <v>4742.3999999999996</v>
      </c>
      <c r="L42" s="7">
        <f t="shared" ref="L42:L47" si="36">ROUND(IF((G42)&gt;(15600*20),((15600*20)*0.071),(G42)*0.071),2)</f>
        <v>11715</v>
      </c>
      <c r="M42" s="7">
        <f t="shared" ref="M42:M47" si="37">ROUND(IF((G42)&gt;(15600*10),((15600*10)*0.0709),(G42)*0.0709),2)</f>
        <v>11060.4</v>
      </c>
      <c r="N42" s="7">
        <f t="shared" ref="N42:N47" si="38">+ROUND(IF(G42&gt;(15600*4),((15600*4)*0.0115),G42*0.0115),2)</f>
        <v>717.6</v>
      </c>
      <c r="O42" s="90">
        <f>+G42-I42-J141-K42-H42-J42</f>
        <v>128033.64000000001</v>
      </c>
    </row>
    <row r="43" spans="1:27" x14ac:dyDescent="0.3">
      <c r="A43" s="36">
        <v>27</v>
      </c>
      <c r="B43" s="9" t="s">
        <v>58</v>
      </c>
      <c r="C43" s="69" t="s">
        <v>116</v>
      </c>
      <c r="D43" s="9" t="s">
        <v>103</v>
      </c>
      <c r="E43" s="44" t="s">
        <v>59</v>
      </c>
      <c r="F43" s="37" t="s">
        <v>14</v>
      </c>
      <c r="G43" s="10">
        <v>140000</v>
      </c>
      <c r="H43" s="10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0">
        <v>25</v>
      </c>
      <c r="J43" s="10">
        <f t="shared" si="34"/>
        <v>4018</v>
      </c>
      <c r="K43" s="10">
        <f t="shared" si="35"/>
        <v>4256</v>
      </c>
      <c r="L43" s="10">
        <f t="shared" si="36"/>
        <v>9940</v>
      </c>
      <c r="M43" s="10">
        <f t="shared" si="37"/>
        <v>9926</v>
      </c>
      <c r="N43" s="10">
        <f t="shared" si="38"/>
        <v>717.6</v>
      </c>
      <c r="O43" s="43">
        <f>+G43-H43-I43-J43-K43</f>
        <v>110186.56</v>
      </c>
    </row>
    <row r="44" spans="1:27" x14ac:dyDescent="0.3">
      <c r="A44" s="36">
        <v>28</v>
      </c>
      <c r="B44" s="9" t="s">
        <v>62</v>
      </c>
      <c r="C44" s="69" t="s">
        <v>116</v>
      </c>
      <c r="D44" s="9" t="s">
        <v>103</v>
      </c>
      <c r="E44" s="44" t="s">
        <v>63</v>
      </c>
      <c r="F44" s="37" t="s">
        <v>14</v>
      </c>
      <c r="G44" s="10">
        <v>60000</v>
      </c>
      <c r="H44" s="10">
        <f t="shared" si="28"/>
        <v>3486.64</v>
      </c>
      <c r="I44" s="10">
        <v>25</v>
      </c>
      <c r="J44" s="10">
        <f t="shared" si="34"/>
        <v>1722</v>
      </c>
      <c r="K44" s="10">
        <f t="shared" si="35"/>
        <v>1824</v>
      </c>
      <c r="L44" s="10">
        <f t="shared" si="36"/>
        <v>4260</v>
      </c>
      <c r="M44" s="10">
        <f t="shared" si="37"/>
        <v>4254</v>
      </c>
      <c r="N44" s="10">
        <f t="shared" si="38"/>
        <v>690</v>
      </c>
      <c r="O44" s="43">
        <f t="shared" ref="O44:O47" si="39">+G44-H44-I44-J44-K44</f>
        <v>52942.36</v>
      </c>
      <c r="S44" s="66"/>
      <c r="T44" s="66"/>
      <c r="U44" s="66"/>
      <c r="V44" s="66"/>
      <c r="W44" s="66"/>
      <c r="X44" s="66"/>
      <c r="Y44" s="66"/>
      <c r="Z44" s="66"/>
      <c r="AA44" s="66"/>
    </row>
    <row r="45" spans="1:27" s="145" customFormat="1" x14ac:dyDescent="0.3">
      <c r="A45" s="36">
        <v>29</v>
      </c>
      <c r="B45" s="11" t="s">
        <v>122</v>
      </c>
      <c r="C45" s="76" t="s">
        <v>117</v>
      </c>
      <c r="D45" s="9" t="s">
        <v>103</v>
      </c>
      <c r="E45" s="45" t="s">
        <v>163</v>
      </c>
      <c r="F45" s="37" t="s">
        <v>131</v>
      </c>
      <c r="G45" s="10">
        <v>60000</v>
      </c>
      <c r="H45" s="10">
        <v>3486.64</v>
      </c>
      <c r="I45" s="12">
        <v>25</v>
      </c>
      <c r="J45" s="10">
        <v>1722</v>
      </c>
      <c r="K45" s="10">
        <v>1824</v>
      </c>
      <c r="L45" s="10">
        <v>4260</v>
      </c>
      <c r="M45" s="10">
        <v>4254</v>
      </c>
      <c r="N45" s="10">
        <v>690</v>
      </c>
      <c r="O45" s="46">
        <v>52942.36</v>
      </c>
    </row>
    <row r="46" spans="1:27" s="145" customFormat="1" x14ac:dyDescent="0.3">
      <c r="A46" s="36">
        <v>30</v>
      </c>
      <c r="B46" s="11" t="s">
        <v>136</v>
      </c>
      <c r="C46" s="76" t="s">
        <v>117</v>
      </c>
      <c r="D46" s="9" t="s">
        <v>103</v>
      </c>
      <c r="E46" s="45" t="s">
        <v>40</v>
      </c>
      <c r="F46" s="37" t="s">
        <v>131</v>
      </c>
      <c r="G46" s="10">
        <v>60000</v>
      </c>
      <c r="H46" s="10">
        <v>3486.64</v>
      </c>
      <c r="I46" s="12">
        <v>25</v>
      </c>
      <c r="J46" s="10">
        <v>1722</v>
      </c>
      <c r="K46" s="10">
        <v>1824</v>
      </c>
      <c r="L46" s="10">
        <v>4260</v>
      </c>
      <c r="M46" s="10">
        <v>4254</v>
      </c>
      <c r="N46" s="10">
        <v>690</v>
      </c>
      <c r="O46" s="46">
        <v>52942.36</v>
      </c>
    </row>
    <row r="47" spans="1:27" x14ac:dyDescent="0.3">
      <c r="A47" s="36">
        <v>31</v>
      </c>
      <c r="B47" s="11" t="s">
        <v>64</v>
      </c>
      <c r="C47" s="76" t="s">
        <v>116</v>
      </c>
      <c r="D47" s="9" t="s">
        <v>103</v>
      </c>
      <c r="E47" s="45" t="s">
        <v>63</v>
      </c>
      <c r="F47" s="37" t="s">
        <v>14</v>
      </c>
      <c r="G47" s="10">
        <v>60000</v>
      </c>
      <c r="H47" s="10">
        <f t="shared" si="28"/>
        <v>3486.64</v>
      </c>
      <c r="I47" s="12">
        <v>25</v>
      </c>
      <c r="J47" s="10">
        <f t="shared" si="34"/>
        <v>1722</v>
      </c>
      <c r="K47" s="10">
        <f t="shared" si="35"/>
        <v>1824</v>
      </c>
      <c r="L47" s="10">
        <f t="shared" si="36"/>
        <v>4260</v>
      </c>
      <c r="M47" s="10">
        <f t="shared" si="37"/>
        <v>4254</v>
      </c>
      <c r="N47" s="10">
        <f t="shared" si="38"/>
        <v>690</v>
      </c>
      <c r="O47" s="46">
        <f t="shared" si="39"/>
        <v>52942.36</v>
      </c>
    </row>
    <row r="48" spans="1:27" x14ac:dyDescent="0.3">
      <c r="A48" s="36">
        <v>32</v>
      </c>
      <c r="B48" s="11" t="s">
        <v>39</v>
      </c>
      <c r="C48" s="76" t="s">
        <v>116</v>
      </c>
      <c r="D48" s="9" t="s">
        <v>103</v>
      </c>
      <c r="E48" s="11" t="s">
        <v>40</v>
      </c>
      <c r="F48" s="54" t="s">
        <v>14</v>
      </c>
      <c r="G48" s="12">
        <v>60000</v>
      </c>
      <c r="H48" s="12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3486.64</v>
      </c>
      <c r="I48" s="12">
        <v>25</v>
      </c>
      <c r="J48" s="12">
        <f>ROUND(IF((G48)&gt;(15600*20),((15600*20)*0.0287),(G48)*0.0287),2)</f>
        <v>1722</v>
      </c>
      <c r="K48" s="12">
        <f>ROUND(IF((G48)&gt;(15600*10),((15600*10)*0.0304),(G48)*0.0304),2)</f>
        <v>1824</v>
      </c>
      <c r="L48" s="12">
        <f>ROUND(IF((G48)&gt;(15600*20),((15600*20)*0.071),(G48)*0.071),2)</f>
        <v>4260</v>
      </c>
      <c r="M48" s="12">
        <f>ROUND(IF((G48)&gt;(15600*10),((15600*10)*0.0709),(G48)*0.0709),2)</f>
        <v>4254</v>
      </c>
      <c r="N48" s="12">
        <f>+ROUND(IF(G48&gt;(15600*4),((15600*4)*0.0115),G48*0.0115),2)</f>
        <v>690</v>
      </c>
      <c r="O48" s="55">
        <f>+G48-I48-J146-K48-H48-J48</f>
        <v>52942.36</v>
      </c>
    </row>
    <row r="49" spans="1:27" s="66" customFormat="1" ht="19.5" thickBot="1" x14ac:dyDescent="0.35">
      <c r="A49" s="36">
        <v>33</v>
      </c>
      <c r="B49" s="9" t="s">
        <v>112</v>
      </c>
      <c r="C49" s="69" t="s">
        <v>117</v>
      </c>
      <c r="D49" s="9" t="s">
        <v>103</v>
      </c>
      <c r="E49" s="44" t="s">
        <v>170</v>
      </c>
      <c r="F49" s="37" t="s">
        <v>14</v>
      </c>
      <c r="G49" s="12">
        <v>55000</v>
      </c>
      <c r="H49" s="10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2559.67</v>
      </c>
      <c r="I49" s="10">
        <v>25</v>
      </c>
      <c r="J49" s="10">
        <f>ROUND(IF((G49)&gt;(15600*20),((15600*20)*0.0287),(G49)*0.0287),2)</f>
        <v>1578.5</v>
      </c>
      <c r="K49" s="10">
        <f>ROUND(IF((G49)&gt;(15600*10),((15600*10)*0.0304),(G49)*0.0304),2)</f>
        <v>1672</v>
      </c>
      <c r="L49" s="10">
        <f>ROUND(IF((G49)&gt;(15600*20),((15600*20)*0.071),(G49)*0.071),2)</f>
        <v>3905</v>
      </c>
      <c r="M49" s="10">
        <f>ROUND(IF((G49)&gt;(15600*10),((15600*10)*0.0709),(G49)*0.0709),2)</f>
        <v>3899.5</v>
      </c>
      <c r="N49" s="10">
        <f>+ROUND(IF(G49&gt;(15600*4),((15600*4)*0.0115),G49*0.0115),2)</f>
        <v>632.5</v>
      </c>
      <c r="O49" s="38">
        <f>+G49-I49-J148-K49-H49-J49</f>
        <v>49164.83</v>
      </c>
      <c r="S49" s="67"/>
      <c r="T49" s="67"/>
      <c r="U49" s="67"/>
      <c r="V49" s="67"/>
      <c r="W49" s="67"/>
      <c r="X49" s="67"/>
      <c r="Y49" s="67"/>
      <c r="Z49" s="67"/>
      <c r="AA49" s="67"/>
    </row>
    <row r="50" spans="1:27" s="67" customFormat="1" ht="23.25" thickBot="1" x14ac:dyDescent="0.35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1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19.5" thickBot="1" x14ac:dyDescent="0.35">
      <c r="A51" s="75">
        <v>34</v>
      </c>
      <c r="B51" s="97" t="s">
        <v>80</v>
      </c>
      <c r="C51" s="98" t="s">
        <v>117</v>
      </c>
      <c r="D51" s="99" t="s">
        <v>126</v>
      </c>
      <c r="E51" s="97" t="s">
        <v>127</v>
      </c>
      <c r="F51" s="100" t="s">
        <v>14</v>
      </c>
      <c r="G51" s="101">
        <v>65000</v>
      </c>
      <c r="H51" s="101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101">
        <v>25</v>
      </c>
      <c r="J51" s="101">
        <f>ROUND(IF((G51)&gt;(15600*20),((15600*20)*0.0287),(G51)*0.0287),2)</f>
        <v>1865.5</v>
      </c>
      <c r="K51" s="101">
        <f>ROUND(IF((G51)&gt;(15600*10),((15600*10)*0.0304),(G51)*0.0304),2)</f>
        <v>1976</v>
      </c>
      <c r="L51" s="101">
        <f>ROUND(IF((G51)&gt;(15600*20),((15600*20)*0.071),(G51)*0.071),2)</f>
        <v>4615</v>
      </c>
      <c r="M51" s="101">
        <f>ROUND(IF((G51)&gt;(15600*10),((15600*10)*0.0709),(G51)*0.0709),2)</f>
        <v>4608.5</v>
      </c>
      <c r="N51" s="101">
        <f t="shared" ref="N51" si="40">+ROUND(IF(G51&gt;(15600*4),((15600*4)*0.0115),G51*0.0115),2)</f>
        <v>717.6</v>
      </c>
      <c r="O51" s="102">
        <f>+G51-H51-I51-J51-K51</f>
        <v>56705.96</v>
      </c>
    </row>
    <row r="52" spans="1:27" ht="19.5" thickBot="1" x14ac:dyDescent="0.35">
      <c r="A52" s="175" t="s">
        <v>53</v>
      </c>
      <c r="B52" s="176"/>
      <c r="C52" s="176"/>
      <c r="D52" s="176"/>
      <c r="E52" s="176"/>
      <c r="F52" s="177"/>
      <c r="G52" s="86">
        <f>SUM(G11:G51)</f>
        <v>2621000</v>
      </c>
      <c r="H52" s="86">
        <f t="shared" ref="H52:O52" si="41">SUM(H11:H51)</f>
        <v>287904.45</v>
      </c>
      <c r="I52" s="86">
        <f t="shared" si="41"/>
        <v>851</v>
      </c>
      <c r="J52" s="86">
        <f t="shared" si="41"/>
        <v>75222.700000000012</v>
      </c>
      <c r="K52" s="86">
        <f t="shared" si="41"/>
        <v>76273.600000000006</v>
      </c>
      <c r="L52" s="86">
        <f t="shared" si="41"/>
        <v>186091</v>
      </c>
      <c r="M52" s="86">
        <f t="shared" si="41"/>
        <v>177888.1</v>
      </c>
      <c r="N52" s="86">
        <f t="shared" si="41"/>
        <v>20313.600000000002</v>
      </c>
      <c r="O52" s="86">
        <f t="shared" si="41"/>
        <v>2180748.2500000009</v>
      </c>
    </row>
    <row r="53" spans="1:27" x14ac:dyDescent="0.3">
      <c r="B53" s="47"/>
      <c r="C53" s="47"/>
      <c r="D53" s="47"/>
      <c r="E53" s="47"/>
      <c r="F53" s="48"/>
      <c r="G53" s="48"/>
      <c r="H53" s="1"/>
      <c r="I53" s="19"/>
      <c r="J53" s="20"/>
      <c r="K53" s="20"/>
      <c r="L53" s="20"/>
      <c r="M53" s="20"/>
      <c r="N53" s="20"/>
      <c r="O53" s="20"/>
      <c r="P53" s="20"/>
    </row>
    <row r="54" spans="1:27" x14ac:dyDescent="0.3">
      <c r="A54" s="1"/>
      <c r="B54" s="1"/>
      <c r="C54" s="19"/>
      <c r="D54" s="1"/>
      <c r="E54" s="1" t="s">
        <v>27</v>
      </c>
      <c r="F54" s="1"/>
      <c r="G54" s="1"/>
      <c r="H54" s="49"/>
      <c r="I54" s="19"/>
      <c r="J54" s="35"/>
      <c r="K54" s="35"/>
      <c r="L54" s="1" t="s">
        <v>0</v>
      </c>
      <c r="M54" s="1"/>
      <c r="N54" s="50"/>
      <c r="O54" s="50"/>
      <c r="P54" s="50"/>
    </row>
    <row r="55" spans="1:27" ht="19.5" thickBot="1" x14ac:dyDescent="0.35">
      <c r="B55" s="19"/>
      <c r="D55" s="166"/>
      <c r="E55" s="167" t="s">
        <v>28</v>
      </c>
      <c r="F55" s="51">
        <f>+G52+L52+M52+N52</f>
        <v>3005292.7</v>
      </c>
      <c r="G55" s="52"/>
      <c r="H55" s="52"/>
      <c r="I55" s="166"/>
      <c r="J55" s="166"/>
      <c r="K55" s="20"/>
      <c r="L55" s="49"/>
      <c r="M55" s="49"/>
      <c r="N55" s="49"/>
      <c r="O55" s="1"/>
      <c r="P55" s="50"/>
    </row>
    <row r="56" spans="1:27" ht="19.5" thickTop="1" x14ac:dyDescent="0.3">
      <c r="B56" s="166"/>
      <c r="D56" s="166"/>
      <c r="E56" s="167"/>
      <c r="F56" s="53"/>
      <c r="G56" s="52"/>
      <c r="H56" s="52"/>
      <c r="I56" s="166"/>
      <c r="J56" s="166"/>
      <c r="K56" s="20"/>
      <c r="L56" s="49"/>
      <c r="M56" s="49"/>
      <c r="N56" s="49"/>
      <c r="O56" s="1"/>
      <c r="P56" s="50"/>
    </row>
    <row r="57" spans="1:27" s="114" customFormat="1" x14ac:dyDescent="0.3">
      <c r="B57" s="166"/>
      <c r="C57" s="81"/>
      <c r="D57" s="166"/>
      <c r="E57" s="167"/>
      <c r="F57" s="53"/>
      <c r="G57" s="52"/>
      <c r="H57" s="52"/>
      <c r="I57" s="166"/>
      <c r="J57" s="166"/>
      <c r="K57" s="20"/>
      <c r="L57" s="49"/>
      <c r="M57" s="49"/>
      <c r="N57" s="49"/>
      <c r="O57" s="1"/>
      <c r="P57" s="50"/>
    </row>
    <row r="58" spans="1:27" x14ac:dyDescent="0.3">
      <c r="A58" s="1"/>
      <c r="B58" s="166"/>
      <c r="C58" s="19"/>
      <c r="D58" s="1"/>
      <c r="E58" s="1"/>
      <c r="F58" s="1"/>
      <c r="G58" s="1"/>
      <c r="H58" s="1"/>
      <c r="I58" s="19" t="s">
        <v>29</v>
      </c>
      <c r="J58" s="50"/>
      <c r="K58" s="50"/>
      <c r="L58" s="49"/>
      <c r="M58" s="49"/>
      <c r="N58" s="1"/>
      <c r="O58" s="1"/>
      <c r="P58" s="1"/>
      <c r="Q58" s="113"/>
    </row>
    <row r="59" spans="1:27" x14ac:dyDescent="0.3">
      <c r="A59" s="1"/>
      <c r="B59" s="1"/>
      <c r="C59" s="19"/>
      <c r="D59" s="1"/>
      <c r="E59" s="1"/>
      <c r="F59" s="1"/>
      <c r="G59" s="19"/>
      <c r="H59" s="25"/>
      <c r="I59" s="1"/>
      <c r="J59" s="49"/>
      <c r="K59" s="49"/>
      <c r="L59" s="1"/>
      <c r="M59" s="1"/>
      <c r="N59" s="1"/>
      <c r="O59" s="113"/>
      <c r="P59" s="113"/>
      <c r="Q59" s="113"/>
    </row>
    <row r="60" spans="1:27" x14ac:dyDescent="0.3">
      <c r="B60" s="1"/>
      <c r="C60" s="19"/>
      <c r="D60" s="17"/>
      <c r="E60" s="19"/>
      <c r="F60" s="26"/>
      <c r="G60" s="26"/>
      <c r="H60" s="26"/>
      <c r="I60" s="1"/>
      <c r="J60" s="1"/>
      <c r="K60" s="49"/>
      <c r="L60" s="1"/>
      <c r="M60" s="1"/>
      <c r="N60" s="1"/>
      <c r="O60" s="113"/>
      <c r="P60" s="113"/>
      <c r="Q60" s="113"/>
    </row>
    <row r="61" spans="1:27" ht="19.5" thickBot="1" x14ac:dyDescent="0.35">
      <c r="B61" s="30"/>
      <c r="C61" s="1"/>
      <c r="D61" s="166"/>
      <c r="E61" s="30"/>
      <c r="F61" s="26"/>
      <c r="G61" s="29"/>
      <c r="H61" s="30"/>
      <c r="I61" s="30"/>
      <c r="J61" s="30"/>
      <c r="K61" s="1"/>
      <c r="L61" s="166"/>
      <c r="M61" s="166"/>
      <c r="N61" s="166"/>
      <c r="O61" s="113"/>
      <c r="P61" s="113"/>
      <c r="Q61" s="113"/>
    </row>
    <row r="62" spans="1:27" x14ac:dyDescent="0.3">
      <c r="B62" s="31" t="s">
        <v>76</v>
      </c>
      <c r="C62" s="1"/>
      <c r="D62" s="166"/>
      <c r="E62" s="31" t="s">
        <v>77</v>
      </c>
      <c r="F62" s="166"/>
      <c r="G62" s="178" t="s">
        <v>75</v>
      </c>
      <c r="H62" s="178"/>
      <c r="I62" s="178"/>
      <c r="J62" s="178"/>
      <c r="K62" s="26"/>
      <c r="L62" s="1"/>
      <c r="M62" s="1"/>
      <c r="N62" s="166"/>
      <c r="O62" s="113"/>
      <c r="P62" s="113"/>
      <c r="Q62" s="113"/>
    </row>
    <row r="63" spans="1:27" x14ac:dyDescent="0.3">
      <c r="B63" s="166" t="s">
        <v>86</v>
      </c>
      <c r="C63" s="1"/>
      <c r="D63" s="166"/>
      <c r="E63" s="166" t="s">
        <v>84</v>
      </c>
      <c r="F63" s="166"/>
      <c r="G63" s="174" t="s">
        <v>87</v>
      </c>
      <c r="H63" s="174"/>
      <c r="I63" s="174"/>
      <c r="J63" s="174"/>
      <c r="K63" s="26"/>
      <c r="L63" s="26"/>
      <c r="M63" s="1"/>
      <c r="N63" s="1"/>
      <c r="O63" s="113"/>
      <c r="P63" s="113"/>
      <c r="Q63" s="113"/>
    </row>
    <row r="64" spans="1:27" x14ac:dyDescent="0.3">
      <c r="B64" s="166"/>
      <c r="C64" s="17"/>
      <c r="D64" s="17"/>
      <c r="E64" s="81"/>
      <c r="F64" s="166"/>
      <c r="G64" s="166"/>
      <c r="H64" s="166"/>
      <c r="I64" s="166"/>
      <c r="J64" s="166"/>
      <c r="K64" s="166"/>
      <c r="L64" s="166"/>
      <c r="M64" s="49"/>
      <c r="N64" s="1"/>
      <c r="O64" s="113"/>
      <c r="P64" s="113"/>
      <c r="Q64" s="113"/>
    </row>
    <row r="65" spans="1:17" x14ac:dyDescent="0.3">
      <c r="A65" s="1"/>
      <c r="B65"/>
      <c r="C65"/>
      <c r="D65"/>
      <c r="E65"/>
      <c r="F65"/>
      <c r="G65"/>
      <c r="H65" s="167"/>
      <c r="I65" s="167"/>
      <c r="J65" s="24"/>
      <c r="K65" s="81"/>
      <c r="L65"/>
      <c r="M65"/>
      <c r="N65"/>
      <c r="O65" s="113"/>
      <c r="P65" s="113"/>
      <c r="Q65" s="113"/>
    </row>
    <row r="66" spans="1:17" x14ac:dyDescent="0.3">
      <c r="A66" s="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13"/>
    </row>
    <row r="67" spans="1:17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13"/>
    </row>
    <row r="68" spans="1:17" x14ac:dyDescent="0.3">
      <c r="A68"/>
      <c r="B68"/>
      <c r="C68"/>
      <c r="D68"/>
      <c r="E68"/>
      <c r="F68"/>
      <c r="G68" s="167"/>
      <c r="H68" s="167"/>
      <c r="I68" s="24"/>
      <c r="J68" s="81"/>
      <c r="K68"/>
      <c r="L68"/>
      <c r="M68"/>
      <c r="N68"/>
      <c r="O68"/>
      <c r="P68"/>
      <c r="Q68" s="113"/>
    </row>
    <row r="69" spans="1:17" x14ac:dyDescent="0.3">
      <c r="A69"/>
      <c r="B69"/>
      <c r="C69"/>
      <c r="D69"/>
      <c r="E69"/>
      <c r="F69"/>
      <c r="G69" s="167"/>
      <c r="H69" s="167"/>
      <c r="I69" s="24"/>
      <c r="J69" s="81"/>
      <c r="K69"/>
      <c r="L69"/>
      <c r="M69"/>
      <c r="N69"/>
      <c r="O69"/>
      <c r="P69"/>
      <c r="Q69" s="113"/>
    </row>
    <row r="70" spans="1:17" x14ac:dyDescent="0.3">
      <c r="A70"/>
      <c r="B70"/>
      <c r="C70"/>
      <c r="D70"/>
      <c r="E70"/>
      <c r="F70"/>
      <c r="G70" s="167"/>
      <c r="H70" s="167"/>
      <c r="I70" s="24"/>
      <c r="J70" s="81"/>
      <c r="K70"/>
      <c r="L70"/>
      <c r="M70"/>
      <c r="N70"/>
      <c r="O70"/>
      <c r="P70"/>
      <c r="Q70" s="113"/>
    </row>
    <row r="71" spans="1:17" x14ac:dyDescent="0.3">
      <c r="A71"/>
      <c r="B71"/>
      <c r="C71"/>
      <c r="D71"/>
      <c r="E71"/>
      <c r="F71"/>
      <c r="G71" s="72"/>
      <c r="H71" s="1"/>
      <c r="I71" s="92"/>
      <c r="J71"/>
      <c r="K71"/>
      <c r="L71"/>
      <c r="M71"/>
      <c r="N71"/>
      <c r="O71"/>
      <c r="P71"/>
      <c r="Q71" s="113"/>
    </row>
    <row r="72" spans="1:17" x14ac:dyDescent="0.3">
      <c r="A72"/>
      <c r="B72"/>
      <c r="C72"/>
      <c r="D72"/>
      <c r="E72"/>
      <c r="F72"/>
      <c r="G72" s="31"/>
      <c r="H72" s="1"/>
      <c r="I72" s="31"/>
      <c r="J72" s="81"/>
      <c r="K72"/>
      <c r="L72"/>
      <c r="M72"/>
      <c r="N72"/>
      <c r="O72"/>
      <c r="P72"/>
      <c r="Q72" s="113"/>
    </row>
    <row r="73" spans="1:17" x14ac:dyDescent="0.3">
      <c r="A73"/>
      <c r="B73"/>
      <c r="C73"/>
      <c r="D73"/>
      <c r="E73"/>
      <c r="F73"/>
      <c r="G73" s="166"/>
      <c r="H73" s="1"/>
      <c r="I73" s="166"/>
      <c r="J73" s="81"/>
      <c r="K73"/>
      <c r="L73"/>
      <c r="M73"/>
      <c r="N73"/>
      <c r="O73"/>
      <c r="P73"/>
      <c r="Q73" s="113"/>
    </row>
    <row r="74" spans="1:17" x14ac:dyDescent="0.3">
      <c r="A74"/>
      <c r="B74"/>
      <c r="C74"/>
      <c r="D74"/>
      <c r="E74"/>
      <c r="F74"/>
      <c r="G74" s="166"/>
      <c r="H74" s="17"/>
      <c r="I74" s="17"/>
      <c r="J74" s="81"/>
      <c r="K74"/>
      <c r="L74"/>
      <c r="M74"/>
      <c r="N74"/>
      <c r="O74"/>
      <c r="P74"/>
    </row>
    <row r="75" spans="1:17" x14ac:dyDescent="0.3">
      <c r="A75"/>
      <c r="B75"/>
      <c r="C75"/>
      <c r="D75"/>
      <c r="E75"/>
      <c r="F75"/>
      <c r="G75" s="166"/>
      <c r="H75" s="166"/>
      <c r="I75" s="17"/>
      <c r="J75" s="81"/>
      <c r="K75"/>
      <c r="L75"/>
      <c r="M75"/>
      <c r="N75"/>
      <c r="O75"/>
      <c r="P75"/>
    </row>
    <row r="76" spans="1:17" x14ac:dyDescent="0.3">
      <c r="A76"/>
      <c r="B76"/>
      <c r="C76"/>
      <c r="D76"/>
      <c r="E76"/>
      <c r="F76"/>
      <c r="G76" s="166"/>
      <c r="H76" s="166"/>
      <c r="I76" s="17"/>
      <c r="J76" s="81"/>
      <c r="K76"/>
      <c r="L76"/>
      <c r="M76"/>
      <c r="N76"/>
      <c r="O76"/>
      <c r="P76"/>
    </row>
    <row r="77" spans="1:17" x14ac:dyDescent="0.3">
      <c r="A77"/>
      <c r="B77"/>
      <c r="C77"/>
      <c r="D77"/>
      <c r="E77"/>
      <c r="F77"/>
      <c r="G77" s="166"/>
      <c r="H77" s="166"/>
      <c r="I77" s="17"/>
      <c r="J77" s="81"/>
      <c r="K77"/>
      <c r="L77"/>
      <c r="M77"/>
      <c r="N77"/>
      <c r="O77"/>
      <c r="P77"/>
    </row>
    <row r="78" spans="1:17" x14ac:dyDescent="0.3">
      <c r="A78"/>
      <c r="B78"/>
      <c r="C78"/>
      <c r="D78"/>
      <c r="E78"/>
      <c r="F78"/>
      <c r="G78" s="166"/>
      <c r="H78" s="1"/>
      <c r="I78" s="17"/>
      <c r="J78" s="81"/>
      <c r="K78"/>
      <c r="L78"/>
      <c r="M78"/>
      <c r="N78"/>
      <c r="O78"/>
      <c r="P78"/>
    </row>
    <row r="79" spans="1:17" x14ac:dyDescent="0.3">
      <c r="A79"/>
      <c r="B79"/>
      <c r="C79"/>
      <c r="D79"/>
      <c r="E79"/>
      <c r="F79"/>
      <c r="G79" s="166"/>
      <c r="H79" s="1"/>
      <c r="I79" s="25"/>
      <c r="J79" s="81"/>
      <c r="K79"/>
      <c r="L79"/>
      <c r="M79"/>
      <c r="N79"/>
      <c r="O79"/>
      <c r="P79"/>
      <c r="Q79"/>
    </row>
    <row r="80" spans="1:17" x14ac:dyDescent="0.3">
      <c r="B80"/>
      <c r="C80"/>
      <c r="D80"/>
      <c r="E80"/>
      <c r="F80"/>
      <c r="G80"/>
      <c r="H80"/>
      <c r="I80" s="164"/>
      <c r="J80" s="17"/>
      <c r="K80" s="17"/>
      <c r="L80" s="164"/>
      <c r="M80"/>
      <c r="N80"/>
      <c r="O80"/>
      <c r="P80"/>
      <c r="Q80"/>
    </row>
    <row r="81" spans="2:17" x14ac:dyDescent="0.3">
      <c r="B81"/>
      <c r="C81"/>
      <c r="D81"/>
      <c r="E81"/>
      <c r="F81"/>
      <c r="G81"/>
      <c r="H81"/>
      <c r="I81" s="164"/>
      <c r="J81" s="17"/>
      <c r="K81" s="17"/>
      <c r="L81" s="164"/>
      <c r="M81"/>
      <c r="N81"/>
      <c r="O81"/>
      <c r="P81"/>
      <c r="Q81"/>
    </row>
    <row r="82" spans="2:17" x14ac:dyDescent="0.3">
      <c r="B82"/>
      <c r="C82"/>
      <c r="D82"/>
      <c r="E82"/>
      <c r="F82"/>
      <c r="G82"/>
      <c r="H82"/>
      <c r="I82" s="17"/>
      <c r="J82" s="17"/>
      <c r="K82" s="17"/>
      <c r="L82" s="164"/>
      <c r="M82"/>
      <c r="N82"/>
      <c r="O82"/>
      <c r="P82"/>
      <c r="Q82"/>
    </row>
    <row r="83" spans="2:17" x14ac:dyDescent="0.3">
      <c r="C83"/>
      <c r="D83"/>
      <c r="E83"/>
      <c r="F83"/>
      <c r="G83"/>
      <c r="H83"/>
      <c r="I83" s="164"/>
      <c r="J83" s="17"/>
      <c r="K83" s="17"/>
      <c r="L83" s="164"/>
      <c r="M83"/>
      <c r="N83"/>
      <c r="O83"/>
      <c r="P83"/>
      <c r="Q83"/>
    </row>
    <row r="84" spans="2:17" x14ac:dyDescent="0.3">
      <c r="C84"/>
      <c r="D84"/>
      <c r="E84"/>
      <c r="F84"/>
      <c r="G84"/>
      <c r="H84"/>
      <c r="I84" s="164"/>
      <c r="J84" s="17"/>
      <c r="K84" s="17"/>
      <c r="L84" s="164"/>
      <c r="M84"/>
      <c r="N84"/>
      <c r="O84"/>
      <c r="P84"/>
      <c r="Q84"/>
    </row>
    <row r="85" spans="2:17" x14ac:dyDescent="0.3">
      <c r="C85"/>
      <c r="D85"/>
      <c r="E85"/>
      <c r="F85"/>
      <c r="G85"/>
      <c r="H85"/>
      <c r="I85" s="164"/>
      <c r="J85" s="17"/>
      <c r="K85" s="17"/>
      <c r="L85" s="164"/>
      <c r="M85"/>
      <c r="N85"/>
      <c r="O85"/>
      <c r="P85"/>
      <c r="Q85"/>
    </row>
    <row r="86" spans="2:17" x14ac:dyDescent="0.3">
      <c r="C86"/>
      <c r="D86"/>
      <c r="E86"/>
      <c r="F86"/>
      <c r="G86"/>
      <c r="H86"/>
      <c r="I86" s="164"/>
      <c r="J86" s="164"/>
      <c r="K86" s="17"/>
      <c r="L86" s="164"/>
      <c r="M86"/>
      <c r="N86"/>
      <c r="O86"/>
      <c r="P86"/>
      <c r="Q86"/>
    </row>
    <row r="87" spans="2:17" x14ac:dyDescent="0.3">
      <c r="C87"/>
      <c r="D87"/>
      <c r="E87"/>
      <c r="F87"/>
      <c r="G87"/>
      <c r="H87"/>
      <c r="I87" s="164"/>
      <c r="J87" s="164"/>
      <c r="K87" s="17"/>
      <c r="L87" s="164"/>
      <c r="M87"/>
      <c r="N87"/>
      <c r="O87"/>
      <c r="P87"/>
      <c r="Q87"/>
    </row>
    <row r="88" spans="2:17" x14ac:dyDescent="0.3">
      <c r="C88" s="112"/>
      <c r="D88"/>
      <c r="E88"/>
      <c r="F88"/>
      <c r="G88"/>
      <c r="H88"/>
      <c r="I88"/>
      <c r="J88" s="113"/>
      <c r="K88" s="113"/>
      <c r="L88" s="17"/>
      <c r="M88" s="81"/>
      <c r="N88"/>
      <c r="O88"/>
      <c r="P88"/>
      <c r="Q88"/>
    </row>
    <row r="89" spans="2:17" x14ac:dyDescent="0.3">
      <c r="C89" s="112"/>
      <c r="D89"/>
      <c r="E89"/>
      <c r="F89"/>
      <c r="G89"/>
      <c r="H89"/>
      <c r="I89"/>
      <c r="J89" s="113"/>
      <c r="K89" s="113"/>
      <c r="L89" s="17"/>
      <c r="M89" s="81"/>
      <c r="N89"/>
      <c r="O89"/>
      <c r="P89"/>
      <c r="Q89"/>
    </row>
    <row r="90" spans="2:17" x14ac:dyDescent="0.3">
      <c r="C90" s="112"/>
      <c r="D90"/>
      <c r="E90"/>
      <c r="F90"/>
      <c r="G90"/>
      <c r="H90"/>
      <c r="I90"/>
      <c r="J90" s="113"/>
      <c r="K90" s="1"/>
      <c r="L90" s="17"/>
      <c r="M90" s="81"/>
      <c r="N90"/>
      <c r="O90"/>
      <c r="P90"/>
      <c r="Q90"/>
    </row>
    <row r="91" spans="2:17" x14ac:dyDescent="0.3">
      <c r="C91" s="112"/>
      <c r="D91"/>
      <c r="E91"/>
      <c r="F91"/>
      <c r="G91"/>
      <c r="H91"/>
      <c r="I91"/>
      <c r="J91" s="113"/>
      <c r="K91" s="1"/>
      <c r="L91" s="25"/>
      <c r="M91" s="81"/>
      <c r="N91"/>
      <c r="O91"/>
      <c r="P91"/>
      <c r="Q91"/>
    </row>
    <row r="92" spans="2:17" x14ac:dyDescent="0.3">
      <c r="D92"/>
      <c r="E92"/>
      <c r="F92"/>
      <c r="G92"/>
      <c r="H92"/>
      <c r="I92"/>
      <c r="J92" s="113"/>
      <c r="K92" s="17"/>
      <c r="L92" s="17"/>
      <c r="M92" s="81"/>
      <c r="N92"/>
      <c r="O92"/>
      <c r="P92"/>
      <c r="Q92"/>
    </row>
    <row r="93" spans="2:17" x14ac:dyDescent="0.3">
      <c r="D93"/>
      <c r="E93"/>
      <c r="F93"/>
      <c r="G93"/>
      <c r="H93"/>
      <c r="I93"/>
      <c r="J93" s="113"/>
      <c r="K93" s="17"/>
      <c r="L93" s="17"/>
      <c r="M93" s="81"/>
      <c r="N93"/>
      <c r="O93"/>
      <c r="P93"/>
      <c r="Q93"/>
    </row>
    <row r="94" spans="2:17" x14ac:dyDescent="0.3">
      <c r="D94"/>
      <c r="E94"/>
      <c r="F94"/>
      <c r="G94"/>
      <c r="H94"/>
      <c r="I94"/>
      <c r="J94" s="113"/>
      <c r="K94" s="17"/>
      <c r="L94" s="17"/>
      <c r="M94" s="81"/>
      <c r="N94"/>
      <c r="O94"/>
      <c r="P94"/>
      <c r="Q94"/>
    </row>
  </sheetData>
  <mergeCells count="14">
    <mergeCell ref="A8:O8"/>
    <mergeCell ref="A6:O6"/>
    <mergeCell ref="G63:J63"/>
    <mergeCell ref="A52:F52"/>
    <mergeCell ref="G62:J62"/>
    <mergeCell ref="A31:O31"/>
    <mergeCell ref="A27:O27"/>
    <mergeCell ref="A24:O24"/>
    <mergeCell ref="A10:O10"/>
    <mergeCell ref="A41:O41"/>
    <mergeCell ref="A50:O50"/>
    <mergeCell ref="A17:O17"/>
    <mergeCell ref="A7:O7"/>
    <mergeCell ref="A39:O3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V71"/>
  <sheetViews>
    <sheetView showGridLines="0" tabSelected="1" zoomScale="80" zoomScaleNormal="80" zoomScaleSheetLayoutView="89" workbookViewId="0"/>
  </sheetViews>
  <sheetFormatPr baseColWidth="10" defaultColWidth="11.42578125" defaultRowHeight="18.75" x14ac:dyDescent="0.3"/>
  <cols>
    <col min="1" max="1" width="8.42578125" style="164" bestFit="1" customWidth="1"/>
    <col min="2" max="2" width="49.28515625" style="147" bestFit="1" customWidth="1"/>
    <col min="3" max="3" width="10.85546875" style="81" bestFit="1" customWidth="1"/>
    <col min="4" max="4" width="43.5703125" style="147" bestFit="1" customWidth="1"/>
    <col min="5" max="5" width="47.5703125" style="147" bestFit="1" customWidth="1"/>
    <col min="6" max="6" width="19.42578125" style="81" bestFit="1" customWidth="1"/>
    <col min="7" max="7" width="25.140625" style="147" bestFit="1" customWidth="1"/>
    <col min="8" max="8" width="22.140625" style="147" bestFit="1" customWidth="1"/>
    <col min="9" max="9" width="15.42578125" style="147" bestFit="1" customWidth="1"/>
    <col min="10" max="10" width="18.140625" style="147" customWidth="1"/>
    <col min="11" max="11" width="19.85546875" style="147" customWidth="1"/>
    <col min="12" max="12" width="21.140625" style="147" customWidth="1"/>
    <col min="13" max="13" width="20.140625" style="147" customWidth="1"/>
    <col min="14" max="14" width="18" style="147" bestFit="1" customWidth="1"/>
    <col min="15" max="15" width="22.140625" style="147" bestFit="1" customWidth="1"/>
    <col min="16" max="16" width="24.28515625" style="147" customWidth="1"/>
    <col min="17" max="16384" width="11.42578125" style="147"/>
  </cols>
  <sheetData>
    <row r="4" spans="1:15" x14ac:dyDescent="0.3">
      <c r="A4" s="1"/>
      <c r="B4" s="1"/>
      <c r="C4" s="19"/>
      <c r="D4" s="1"/>
      <c r="E4" s="3"/>
      <c r="F4" s="91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73" t="s">
        <v>138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x14ac:dyDescent="0.3">
      <c r="A6" s="188" t="str">
        <f>+'Nomina Fijo'!A7:O7</f>
        <v>Mes: Abril 2023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ht="19.5" thickBot="1" x14ac:dyDescent="0.35">
      <c r="A7" s="172" t="s">
        <v>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1:15" ht="38.25" thickBot="1" x14ac:dyDescent="0.35">
      <c r="A8" s="77" t="s">
        <v>3</v>
      </c>
      <c r="B8" s="78" t="s">
        <v>79</v>
      </c>
      <c r="C8" s="78" t="s">
        <v>115</v>
      </c>
      <c r="D8" s="78" t="s">
        <v>81</v>
      </c>
      <c r="E8" s="79" t="s">
        <v>4</v>
      </c>
      <c r="F8" s="77" t="s">
        <v>41</v>
      </c>
      <c r="G8" s="78" t="s">
        <v>85</v>
      </c>
      <c r="H8" s="78" t="s">
        <v>6</v>
      </c>
      <c r="I8" s="79" t="s">
        <v>7</v>
      </c>
      <c r="J8" s="79" t="s">
        <v>42</v>
      </c>
      <c r="K8" s="79" t="s">
        <v>43</v>
      </c>
      <c r="L8" s="79" t="s">
        <v>44</v>
      </c>
      <c r="M8" s="79" t="s">
        <v>45</v>
      </c>
      <c r="N8" s="80" t="s">
        <v>12</v>
      </c>
      <c r="O8" s="77" t="s">
        <v>13</v>
      </c>
    </row>
    <row r="9" spans="1:15" ht="23.25" thickBot="1" x14ac:dyDescent="0.35">
      <c r="A9" s="189" t="s">
        <v>119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</row>
    <row r="10" spans="1:15" x14ac:dyDescent="0.3">
      <c r="A10" s="5">
        <v>1</v>
      </c>
      <c r="B10" s="70" t="s">
        <v>84</v>
      </c>
      <c r="C10" s="70" t="s">
        <v>117</v>
      </c>
      <c r="D10" s="70" t="s">
        <v>68</v>
      </c>
      <c r="E10" s="150" t="s">
        <v>88</v>
      </c>
      <c r="F10" s="93" t="s">
        <v>135</v>
      </c>
      <c r="G10" s="7">
        <v>155000</v>
      </c>
      <c r="H10" s="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7">
        <v>25</v>
      </c>
      <c r="J10" s="7">
        <f>ROUND(IF((G10)&gt;(15600*20),((15600*20)*0.0287),(G10)*0.0287),2)</f>
        <v>4448.5</v>
      </c>
      <c r="K10" s="7">
        <f>ROUND(IF((G10)&gt;(15600*10),((15600*10)*0.0304),(G10)*0.0304),2)</f>
        <v>4712</v>
      </c>
      <c r="L10" s="7">
        <f>ROUND(IF((G10)&gt;(15600*20),((15600*20)*0.071),(G10)*0.071),2)</f>
        <v>11005</v>
      </c>
      <c r="M10" s="7">
        <f>ROUND(IF((G10)&gt;(15600*10),((15600*10)*0.0709),(G10)*0.0709),2)</f>
        <v>10989.5</v>
      </c>
      <c r="N10" s="7">
        <f>+ROUND(IF(G10&gt;(15600*4),((15600*4)*0.0115),G10*0.0115),2)</f>
        <v>717.6</v>
      </c>
      <c r="O10" s="42">
        <f>+G10-H10-I10-J10-K10</f>
        <v>120771.69</v>
      </c>
    </row>
    <row r="11" spans="1:15" x14ac:dyDescent="0.3">
      <c r="A11" s="5">
        <v>2</v>
      </c>
      <c r="B11" s="69" t="s">
        <v>89</v>
      </c>
      <c r="C11" s="69" t="s">
        <v>117</v>
      </c>
      <c r="D11" s="69" t="s">
        <v>73</v>
      </c>
      <c r="E11" s="151" t="s">
        <v>90</v>
      </c>
      <c r="F11" s="93" t="s">
        <v>135</v>
      </c>
      <c r="G11" s="10">
        <v>115000</v>
      </c>
      <c r="H11" s="84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10">
        <v>25</v>
      </c>
      <c r="J11" s="10">
        <f>ROUND(IF((G11)&gt;(15600*20),((15600*20)*0.0287),(G11)*0.0287),2)</f>
        <v>3300.5</v>
      </c>
      <c r="K11" s="7">
        <f>ROUND(IF((G11)&gt;(15600*10),((15600*10)*0.0304),(G11)*0.0304),2)</f>
        <v>3496</v>
      </c>
      <c r="L11" s="7">
        <f>ROUND(IF((G11)&gt;(15600*20),((15600*20)*0.071),(G11)*0.071),2)</f>
        <v>8165</v>
      </c>
      <c r="M11" s="7">
        <f>ROUND(IF((G11)&gt;(15600*10),((15600*10)*0.0709),(G11)*0.0709),2)</f>
        <v>8153.5</v>
      </c>
      <c r="N11" s="10">
        <f>+ROUND(IF(G11&gt;(15600*4),((15600*4)*0.0115),G11*0.0115),2)</f>
        <v>717.6</v>
      </c>
      <c r="O11" s="43">
        <f>+G11-H11-I11-J11-K11</f>
        <v>92544.69</v>
      </c>
    </row>
    <row r="12" spans="1:15" x14ac:dyDescent="0.3">
      <c r="A12" s="5">
        <v>3</v>
      </c>
      <c r="B12" s="70" t="s">
        <v>92</v>
      </c>
      <c r="C12" s="70" t="s">
        <v>117</v>
      </c>
      <c r="D12" s="70" t="s">
        <v>68</v>
      </c>
      <c r="E12" s="150" t="s">
        <v>93</v>
      </c>
      <c r="F12" s="93" t="s">
        <v>135</v>
      </c>
      <c r="G12" s="7">
        <v>130000</v>
      </c>
      <c r="H12" s="8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7">
        <v>25</v>
      </c>
      <c r="J12" s="10">
        <f>ROUND(IF((G12)&gt;(15600*20),((15600*20)*0.0287),(G12)*0.0287),2)</f>
        <v>3731</v>
      </c>
      <c r="K12" s="7">
        <f>ROUND(IF((G12)&gt;(15600*10),((15600*10)*0.0304),(G12)*0.0304),2)</f>
        <v>3952</v>
      </c>
      <c r="L12" s="7">
        <f>ROUND(IF((G12)&gt;(15600*20),((15600*20)*0.071),(G12)*0.071),2)</f>
        <v>9230</v>
      </c>
      <c r="M12" s="7">
        <f>ROUND(IF((G12)&gt;(15600*10),((15600*10)*0.0709),(G12)*0.0709),2)</f>
        <v>9217</v>
      </c>
      <c r="N12" s="10">
        <f>+ROUND(IF(G12&gt;(15600*4),((15600*4)*0.0115),G12*0.0115),2)</f>
        <v>717.6</v>
      </c>
      <c r="O12" s="43">
        <f>+G12-H12-I12-J12-K12</f>
        <v>103129.81</v>
      </c>
    </row>
    <row r="13" spans="1:15" s="32" customFormat="1" ht="19.5" thickBot="1" x14ac:dyDescent="0.3">
      <c r="A13" s="68">
        <v>4</v>
      </c>
      <c r="B13" s="143" t="s">
        <v>98</v>
      </c>
      <c r="C13" s="76" t="s">
        <v>117</v>
      </c>
      <c r="D13" s="143" t="s">
        <v>73</v>
      </c>
      <c r="E13" s="152" t="s">
        <v>99</v>
      </c>
      <c r="F13" s="94" t="s">
        <v>135</v>
      </c>
      <c r="G13" s="103">
        <v>71000</v>
      </c>
      <c r="H13" s="103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103">
        <v>25</v>
      </c>
      <c r="J13" s="12">
        <f>ROUND(IF((G13)&gt;(15600*20),((15600*20)*0.0287),(G13)*0.0287),2)</f>
        <v>2037.7</v>
      </c>
      <c r="K13" s="14">
        <f>ROUND(IF((G13)&gt;(15600*10),((15600*10)*0.0304),(G13)*0.0304),2)</f>
        <v>2158.4</v>
      </c>
      <c r="L13" s="14">
        <f>ROUND(IF((G13)&gt;(15600*20),((15600*20)*0.071),(G13)*0.071),2)</f>
        <v>5041</v>
      </c>
      <c r="M13" s="14">
        <f>ROUND(IF((G13)&gt;(15600*10),((15600*10)*0.0709),(G13)*0.0709),2)</f>
        <v>5033.8999999999996</v>
      </c>
      <c r="N13" s="12">
        <f>+ROUND(IF(G13&gt;(15600*4),((15600*4)*0.0115),G13*0.0115),2)</f>
        <v>717.6</v>
      </c>
      <c r="O13" s="139">
        <f>+G13-H13-I13-J13-K13</f>
        <v>61222.28</v>
      </c>
    </row>
    <row r="14" spans="1:15" ht="23.25" thickBot="1" x14ac:dyDescent="0.35">
      <c r="A14" s="185" t="s">
        <v>120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/>
    </row>
    <row r="15" spans="1:15" x14ac:dyDescent="0.3">
      <c r="A15" s="5">
        <v>5</v>
      </c>
      <c r="B15" s="70" t="s">
        <v>95</v>
      </c>
      <c r="C15" s="70" t="s">
        <v>116</v>
      </c>
      <c r="D15" s="70" t="s">
        <v>97</v>
      </c>
      <c r="E15" s="150" t="s">
        <v>96</v>
      </c>
      <c r="F15" s="93" t="s">
        <v>135</v>
      </c>
      <c r="G15" s="7">
        <v>140000</v>
      </c>
      <c r="H15" s="8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7">
        <v>25</v>
      </c>
      <c r="J15" s="7">
        <f>ROUND(IF((G15)&gt;(15600*20),((15600*20)*0.0287),(G15)*0.0287),2)</f>
        <v>4018</v>
      </c>
      <c r="K15" s="7">
        <f>ROUND(IF((G15)&gt;(15600*10),((15600*10)*0.0304),(G15)*0.0304),2)</f>
        <v>4256</v>
      </c>
      <c r="L15" s="7">
        <f>ROUND(IF((G15)&gt;(15600*20),((15600*20)*0.071),(G15)*0.071),2)</f>
        <v>9940</v>
      </c>
      <c r="M15" s="7">
        <f>ROUND(IF((G15)&gt;(15600*10),((15600*10)*0.0709),(G15)*0.0709),2)</f>
        <v>9926</v>
      </c>
      <c r="N15" s="7">
        <f>+ROUND(IF(G15&gt;(15600*4),((15600*4)*0.0115),G15*0.0115),2)</f>
        <v>717.6</v>
      </c>
      <c r="O15" s="42">
        <f>+G15-H15-I15-J15-K15</f>
        <v>110186.56</v>
      </c>
    </row>
    <row r="16" spans="1:15" ht="19.5" thickBot="1" x14ac:dyDescent="0.35">
      <c r="A16" s="68">
        <v>6</v>
      </c>
      <c r="B16" s="95" t="s">
        <v>82</v>
      </c>
      <c r="C16" s="95" t="s">
        <v>117</v>
      </c>
      <c r="D16" s="153" t="s">
        <v>67</v>
      </c>
      <c r="E16" s="154" t="s">
        <v>162</v>
      </c>
      <c r="F16" s="94" t="s">
        <v>135</v>
      </c>
      <c r="G16" s="14">
        <v>50000</v>
      </c>
      <c r="H16" s="13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4">
        <v>25</v>
      </c>
      <c r="J16" s="12">
        <f>ROUND(IF((G16)&gt;(15600*20),((15600*20)*0.0287),(G16)*0.0287),2)</f>
        <v>1435</v>
      </c>
      <c r="K16" s="14">
        <f>ROUND(IF((G16)&gt;(15600*10),((15600*10)*0.0304),(G16)*0.0304),2)</f>
        <v>1520</v>
      </c>
      <c r="L16" s="14">
        <f>ROUND(IF((G16)&gt;(15600*20),((15600*20)*0.071),(G16)*0.071),2)</f>
        <v>3550</v>
      </c>
      <c r="M16" s="14">
        <f>ROUND(IF((G16)&gt;(15600*10),((15600*10)*0.0709),(G16)*0.0709),2)</f>
        <v>3545</v>
      </c>
      <c r="N16" s="12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179" t="s">
        <v>102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1"/>
    </row>
    <row r="18" spans="1:22" x14ac:dyDescent="0.3">
      <c r="A18" s="36">
        <v>7</v>
      </c>
      <c r="B18" s="70" t="s">
        <v>107</v>
      </c>
      <c r="C18" s="70" t="s">
        <v>116</v>
      </c>
      <c r="D18" s="155" t="s">
        <v>148</v>
      </c>
      <c r="E18" s="155" t="s">
        <v>101</v>
      </c>
      <c r="F18" s="93" t="s">
        <v>135</v>
      </c>
      <c r="G18" s="7">
        <v>70000</v>
      </c>
      <c r="H18" s="7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7">
        <v>25</v>
      </c>
      <c r="J18" s="7">
        <f t="shared" ref="J18:J19" si="1">ROUND(IF((G18)&gt;(15600*20),((15600*20)*0.0287),(G18)*0.0287),2)</f>
        <v>2009</v>
      </c>
      <c r="K18" s="7">
        <f t="shared" ref="K18:K19" si="2">ROUND(IF((G18)&gt;(15600*10),((15600*10)*0.0304),(G18)*0.0304),2)</f>
        <v>2128</v>
      </c>
      <c r="L18" s="7">
        <f t="shared" ref="L18:L19" si="3">ROUND(IF((G18)&gt;(15600*20),((15600*20)*0.071),(G18)*0.071),2)</f>
        <v>4970</v>
      </c>
      <c r="M18" s="7">
        <f t="shared" ref="M18:M19" si="4">ROUND(IF((G18)&gt;(15600*10),((15600*10)*0.0709),(G18)*0.0709),2)</f>
        <v>4963</v>
      </c>
      <c r="N18" s="7">
        <f t="shared" ref="N18:N19" si="5">+ROUND(IF(G18&gt;(15600*4),((15600*4)*0.0115),G18*0.0115),2)</f>
        <v>717.6</v>
      </c>
      <c r="O18" s="42">
        <f t="shared" ref="O18:O27" si="6">+G18-H18-I18-J18-K18</f>
        <v>60469.56</v>
      </c>
    </row>
    <row r="19" spans="1:22" s="164" customFormat="1" x14ac:dyDescent="0.3">
      <c r="A19" s="36">
        <v>8</v>
      </c>
      <c r="B19" s="95" t="s">
        <v>164</v>
      </c>
      <c r="C19" s="70" t="s">
        <v>116</v>
      </c>
      <c r="D19" s="155" t="s">
        <v>148</v>
      </c>
      <c r="E19" s="69" t="s">
        <v>165</v>
      </c>
      <c r="F19" s="93" t="s">
        <v>135</v>
      </c>
      <c r="G19" s="12">
        <v>60000</v>
      </c>
      <c r="H19" s="12">
        <f t="shared" si="0"/>
        <v>3486.64</v>
      </c>
      <c r="I19" s="12">
        <v>24</v>
      </c>
      <c r="J19" s="12">
        <f t="shared" si="1"/>
        <v>1722</v>
      </c>
      <c r="K19" s="12">
        <f t="shared" si="2"/>
        <v>1824</v>
      </c>
      <c r="L19" s="12">
        <f t="shared" si="3"/>
        <v>4260</v>
      </c>
      <c r="M19" s="12">
        <f t="shared" si="4"/>
        <v>4254</v>
      </c>
      <c r="N19" s="12">
        <f t="shared" si="5"/>
        <v>690</v>
      </c>
      <c r="O19" s="46">
        <f>+G19-H19-I19-J19-K19</f>
        <v>52943.360000000001</v>
      </c>
    </row>
    <row r="20" spans="1:22" ht="19.5" thickBot="1" x14ac:dyDescent="0.35">
      <c r="A20" s="36">
        <v>9</v>
      </c>
      <c r="B20" s="76" t="s">
        <v>146</v>
      </c>
      <c r="C20" s="76" t="s">
        <v>116</v>
      </c>
      <c r="D20" s="156" t="s">
        <v>148</v>
      </c>
      <c r="E20" s="155" t="s">
        <v>147</v>
      </c>
      <c r="F20" s="104" t="s">
        <v>135</v>
      </c>
      <c r="G20" s="12">
        <v>60000</v>
      </c>
      <c r="H20" s="12">
        <f t="shared" ref="H20" si="7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3486.64</v>
      </c>
      <c r="I20" s="12">
        <v>25</v>
      </c>
      <c r="J20" s="12">
        <f t="shared" ref="J20" si="8">ROUND(IF((G20)&gt;(15600*20),((15600*20)*0.0287),(G20)*0.0287),2)</f>
        <v>1722</v>
      </c>
      <c r="K20" s="12">
        <f t="shared" ref="K20" si="9">ROUND(IF((G20)&gt;(15600*10),((15600*10)*0.0304),(G20)*0.0304),2)</f>
        <v>1824</v>
      </c>
      <c r="L20" s="12">
        <f t="shared" ref="L20" si="10">ROUND(IF((G20)&gt;(15600*20),((15600*20)*0.071),(G20)*0.071),2)</f>
        <v>4260</v>
      </c>
      <c r="M20" s="12">
        <f t="shared" ref="M20" si="11">ROUND(IF((G20)&gt;(15600*10),((15600*10)*0.0709),(G20)*0.0709),2)</f>
        <v>4254</v>
      </c>
      <c r="N20" s="12">
        <f t="shared" ref="N20" si="12">+ROUND(IF(G20&gt;(15600*4),((15600*4)*0.0115),G20*0.0115),2)</f>
        <v>690</v>
      </c>
      <c r="O20" s="46">
        <f>+G20-H20-I20-J20-K20</f>
        <v>52942.36</v>
      </c>
    </row>
    <row r="21" spans="1:22" ht="19.5" customHeight="1" thickBot="1" x14ac:dyDescent="0.35">
      <c r="A21" s="179" t="s">
        <v>159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1"/>
    </row>
    <row r="22" spans="1:22" s="168" customFormat="1" ht="19.5" customHeight="1" thickBot="1" x14ac:dyDescent="0.35">
      <c r="A22" s="95">
        <v>10</v>
      </c>
      <c r="B22" s="170" t="s">
        <v>166</v>
      </c>
      <c r="C22" s="169" t="s">
        <v>116</v>
      </c>
      <c r="D22" s="171" t="s">
        <v>168</v>
      </c>
      <c r="E22" s="171" t="s">
        <v>167</v>
      </c>
      <c r="F22" s="153" t="s">
        <v>135</v>
      </c>
      <c r="G22" s="171">
        <v>60000</v>
      </c>
      <c r="H22" s="14">
        <f t="shared" ref="H22" si="13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14">
        <v>25</v>
      </c>
      <c r="J22" s="14">
        <f t="shared" ref="J22" si="14">ROUND(IF((G22)&gt;(15600*20),((15600*20)*0.0287),(G22)*0.0287),2)</f>
        <v>1722</v>
      </c>
      <c r="K22" s="14">
        <f t="shared" ref="K22" si="15">ROUND(IF((G22)&gt;(15600*10),((15600*10)*0.0304),(G22)*0.0304),2)</f>
        <v>1824</v>
      </c>
      <c r="L22" s="14">
        <f t="shared" ref="L22" si="16">ROUND(IF((G22)&gt;(15600*20),((15600*20)*0.071),(G22)*0.071),2)</f>
        <v>4260</v>
      </c>
      <c r="M22" s="14">
        <f t="shared" ref="M22" si="17">ROUND(IF((G22)&gt;(15600*10),((15600*10)*0.0709),(G22)*0.0709),2)</f>
        <v>4254</v>
      </c>
      <c r="N22" s="14">
        <f t="shared" ref="N22" si="18">+ROUND(IF(G22&gt;(15600*4),((15600*4)*0.0115),G22*0.0115),2)</f>
        <v>690</v>
      </c>
      <c r="O22" s="158">
        <f>+G22-H22-I22-J22-K22</f>
        <v>52942.36</v>
      </c>
    </row>
    <row r="23" spans="1:22" s="164" customFormat="1" ht="19.5" customHeight="1" thickBot="1" x14ac:dyDescent="0.35">
      <c r="A23" s="179" t="s">
        <v>159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1"/>
    </row>
    <row r="24" spans="1:22" ht="19.5" thickBot="1" x14ac:dyDescent="0.35">
      <c r="A24" s="138">
        <v>11</v>
      </c>
      <c r="B24" s="95" t="s">
        <v>144</v>
      </c>
      <c r="C24" s="94" t="s">
        <v>116</v>
      </c>
      <c r="D24" s="154" t="s">
        <v>145</v>
      </c>
      <c r="E24" s="154" t="s">
        <v>145</v>
      </c>
      <c r="F24" s="153" t="s">
        <v>135</v>
      </c>
      <c r="G24" s="14">
        <v>70000</v>
      </c>
      <c r="H24" s="157">
        <f t="shared" ref="H24" si="19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14">
        <v>25</v>
      </c>
      <c r="J24" s="14">
        <f t="shared" ref="J24" si="20">ROUND(IF((G24)&gt;(16262.5*20),((16262.5*20)*0.0287),(G24)*0.0287),2)</f>
        <v>2009</v>
      </c>
      <c r="K24" s="14">
        <f t="shared" ref="K24" si="21">ROUND(IF((G24)&gt;(16262.5*10),((16262.5*10)*0.0304),(G24)*0.0304),2)</f>
        <v>2128</v>
      </c>
      <c r="L24" s="14">
        <f t="shared" ref="L24" si="22">ROUND(IF((G24)&gt;(16262.5*20),((16262.5*20)*0.071),(G24)*0.071),2)</f>
        <v>4970</v>
      </c>
      <c r="M24" s="14">
        <f t="shared" ref="M24" si="23">ROUND(IF((G24)&gt;(16262.5*10),((16262.5*10)*0.0709),(G24)*0.0709),2)</f>
        <v>4963</v>
      </c>
      <c r="N24" s="14">
        <f t="shared" ref="N24" si="24">+ROUND(IF(G24&gt;(16262.5*4),((16262.5*4)*0.0115),G24*0.0115),2)</f>
        <v>748.08</v>
      </c>
      <c r="O24" s="158">
        <f>+G24-H24-I24-J24-K24</f>
        <v>60469.56</v>
      </c>
    </row>
    <row r="25" spans="1:22" ht="23.25" thickBot="1" x14ac:dyDescent="0.35">
      <c r="A25" s="185" t="s">
        <v>94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7"/>
    </row>
    <row r="26" spans="1:22" x14ac:dyDescent="0.3">
      <c r="A26" s="5">
        <v>12</v>
      </c>
      <c r="B26" s="70" t="s">
        <v>91</v>
      </c>
      <c r="C26" s="70" t="s">
        <v>117</v>
      </c>
      <c r="D26" s="70" t="s">
        <v>125</v>
      </c>
      <c r="E26" s="150" t="s">
        <v>124</v>
      </c>
      <c r="F26" s="93" t="s">
        <v>135</v>
      </c>
      <c r="G26" s="7">
        <v>140000</v>
      </c>
      <c r="H26" s="8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7">
        <v>25</v>
      </c>
      <c r="J26" s="7">
        <f t="shared" ref="J26:J27" si="25">ROUND(IF((G26)&gt;(15600*20),((15600*20)*0.0287),(G26)*0.0287),2)</f>
        <v>4018</v>
      </c>
      <c r="K26" s="7">
        <f t="shared" ref="K26:K27" si="26">ROUND(IF((G26)&gt;(15600*10),((15600*10)*0.0304),(G26)*0.0304),2)</f>
        <v>4256</v>
      </c>
      <c r="L26" s="7">
        <f>ROUND(IF((G26)&gt;(15600*20),((15600*20)*0.071),(G26)*0.071),2)</f>
        <v>9940</v>
      </c>
      <c r="M26" s="7">
        <f t="shared" ref="M26:M27" si="27">ROUND(IF((G26)&gt;(15600*10),((15600*10)*0.0709),(G26)*0.0709),2)</f>
        <v>9926</v>
      </c>
      <c r="N26" s="7">
        <f t="shared" ref="N26:N27" si="28">+ROUND(IF(G26&gt;(15600*4),((15600*4)*0.0115),G26*0.0115),2)</f>
        <v>717.6</v>
      </c>
      <c r="O26" s="42">
        <f>+G26-H26-I26-J26-K26</f>
        <v>110186.56</v>
      </c>
    </row>
    <row r="27" spans="1:22" ht="19.5" thickBot="1" x14ac:dyDescent="0.35">
      <c r="A27" s="68">
        <v>13</v>
      </c>
      <c r="B27" s="76" t="s">
        <v>109</v>
      </c>
      <c r="C27" s="95" t="s">
        <v>117</v>
      </c>
      <c r="D27" s="156" t="s">
        <v>125</v>
      </c>
      <c r="E27" s="156" t="s">
        <v>110</v>
      </c>
      <c r="F27" s="94" t="s">
        <v>135</v>
      </c>
      <c r="G27" s="12">
        <v>56000</v>
      </c>
      <c r="H27" s="12">
        <f t="shared" si="0"/>
        <v>2733.92</v>
      </c>
      <c r="I27" s="12">
        <v>25</v>
      </c>
      <c r="J27" s="12">
        <f t="shared" si="25"/>
        <v>1607.2</v>
      </c>
      <c r="K27" s="14">
        <f t="shared" si="26"/>
        <v>1702.4</v>
      </c>
      <c r="L27" s="14">
        <f>ROUND(IF((G27)&gt;(15600*20),((15600*20)*0.071),(G27)*0.071),2)</f>
        <v>3976</v>
      </c>
      <c r="M27" s="14">
        <f t="shared" si="27"/>
        <v>3970.4</v>
      </c>
      <c r="N27" s="12">
        <f t="shared" si="28"/>
        <v>644</v>
      </c>
      <c r="O27" s="46">
        <f t="shared" si="6"/>
        <v>49931.48</v>
      </c>
    </row>
    <row r="28" spans="1:22" ht="19.5" thickBot="1" x14ac:dyDescent="0.35">
      <c r="A28" s="193" t="s">
        <v>53</v>
      </c>
      <c r="B28" s="194"/>
      <c r="C28" s="194"/>
      <c r="D28" s="194"/>
      <c r="E28" s="194"/>
      <c r="F28" s="194"/>
      <c r="G28" s="16">
        <f>SUM(G10:G27)</f>
        <v>1177000</v>
      </c>
      <c r="H28" s="16">
        <f t="shared" ref="H28:N28" si="29">SUM(H10:H27)</f>
        <v>134209.03</v>
      </c>
      <c r="I28" s="16">
        <f t="shared" si="29"/>
        <v>324</v>
      </c>
      <c r="J28" s="16">
        <f t="shared" si="29"/>
        <v>33779.9</v>
      </c>
      <c r="K28" s="16">
        <f t="shared" si="29"/>
        <v>35780.800000000003</v>
      </c>
      <c r="L28" s="16">
        <f t="shared" si="29"/>
        <v>83567</v>
      </c>
      <c r="M28" s="16">
        <f t="shared" si="29"/>
        <v>83449.299999999988</v>
      </c>
      <c r="N28" s="16">
        <f t="shared" si="29"/>
        <v>9060.2800000000007</v>
      </c>
      <c r="O28" s="16">
        <f>SUM(O10:O27)</f>
        <v>972906.27</v>
      </c>
    </row>
    <row r="29" spans="1:22" x14ac:dyDescent="0.3">
      <c r="A29" s="1"/>
      <c r="G29" s="147" t="s">
        <v>0</v>
      </c>
      <c r="H29" s="1"/>
      <c r="I29" s="1" t="s">
        <v>0</v>
      </c>
      <c r="J29" s="1"/>
      <c r="K29" s="1"/>
      <c r="L29" s="1"/>
      <c r="M29" s="1"/>
      <c r="N29" s="1"/>
    </row>
    <row r="30" spans="1:22" x14ac:dyDescent="0.3">
      <c r="A30" s="1"/>
      <c r="B30" s="1"/>
      <c r="C30" s="19"/>
      <c r="D30" s="1"/>
      <c r="E30" s="1"/>
      <c r="F30" s="19"/>
      <c r="G30" s="1"/>
      <c r="H30" s="20"/>
      <c r="I30" s="1"/>
      <c r="J30" s="20"/>
      <c r="K30" s="20"/>
      <c r="L30" s="20"/>
      <c r="M30" s="1"/>
      <c r="N30" s="1"/>
      <c r="O30" s="20"/>
    </row>
    <row r="31" spans="1:22" s="21" customFormat="1" x14ac:dyDescent="0.3">
      <c r="A31" s="1"/>
      <c r="B31" s="1"/>
      <c r="C31" s="19"/>
      <c r="D31" s="1"/>
      <c r="E31" s="1"/>
      <c r="F31" s="19"/>
      <c r="G31" s="1"/>
      <c r="H31" s="1"/>
      <c r="I31" s="1"/>
      <c r="J31" s="144"/>
      <c r="K31" s="144"/>
      <c r="L31" s="144"/>
      <c r="M31" s="144"/>
      <c r="N31" s="144"/>
      <c r="O31" s="144"/>
      <c r="P31" s="3"/>
      <c r="Q31" s="3"/>
      <c r="R31" s="146"/>
      <c r="S31" s="81"/>
      <c r="T31" s="144"/>
      <c r="U31" s="144"/>
      <c r="V31" s="144"/>
    </row>
    <row r="32" spans="1:22" ht="19.5" thickBot="1" x14ac:dyDescent="0.35">
      <c r="A32" s="1"/>
      <c r="C32" s="192" t="s">
        <v>28</v>
      </c>
      <c r="D32" s="192"/>
      <c r="E32" s="160">
        <f>G28+M28+L28+N28</f>
        <v>1353076.58</v>
      </c>
      <c r="H32" s="1"/>
      <c r="I32" s="1"/>
      <c r="J32" s="144"/>
      <c r="K32" s="144"/>
      <c r="L32" s="144"/>
      <c r="M32" s="144"/>
      <c r="N32" s="144"/>
      <c r="O32" s="144"/>
      <c r="P32" s="3"/>
      <c r="Q32" s="3"/>
      <c r="R32" s="146"/>
      <c r="S32" s="81"/>
      <c r="T32" s="144"/>
      <c r="U32" s="144"/>
      <c r="V32" s="144"/>
    </row>
    <row r="33" spans="1:22" ht="19.5" thickTop="1" x14ac:dyDescent="0.3">
      <c r="A33" s="1"/>
      <c r="C33" s="3"/>
      <c r="D33" s="3"/>
      <c r="E33" s="161"/>
      <c r="H33" s="1"/>
      <c r="I33" s="1"/>
      <c r="J33" s="144"/>
      <c r="K33" s="144"/>
      <c r="L33" s="144"/>
      <c r="M33" s="144"/>
      <c r="N33" s="144"/>
      <c r="O33" s="144"/>
      <c r="P33" s="3"/>
      <c r="Q33" s="3"/>
      <c r="R33" s="146"/>
      <c r="S33" s="81"/>
      <c r="T33" s="144"/>
      <c r="U33" s="144"/>
      <c r="V33" s="144"/>
    </row>
    <row r="34" spans="1:22" x14ac:dyDescent="0.3">
      <c r="A34" s="1"/>
      <c r="B34" s="3"/>
      <c r="C34" s="91"/>
      <c r="D34" s="3"/>
      <c r="E34" s="146"/>
      <c r="H34" s="1"/>
      <c r="I34" s="1"/>
      <c r="J34" s="144"/>
      <c r="K34" s="144"/>
      <c r="L34" s="144"/>
      <c r="M34" s="144"/>
      <c r="N34" s="144"/>
      <c r="O34" s="144"/>
      <c r="P34" s="89"/>
      <c r="Q34" s="1"/>
      <c r="R34" s="92"/>
      <c r="S34" s="144"/>
      <c r="T34" s="144"/>
      <c r="U34" s="144"/>
      <c r="V34" s="144"/>
    </row>
    <row r="35" spans="1:22" x14ac:dyDescent="0.3">
      <c r="A35" s="1"/>
      <c r="B35" s="3"/>
      <c r="C35" s="91"/>
      <c r="D35" s="3"/>
      <c r="E35" s="146"/>
      <c r="G35" s="162"/>
      <c r="H35" s="1"/>
      <c r="I35" s="1"/>
      <c r="J35" s="144"/>
      <c r="K35" s="144"/>
      <c r="L35" s="144"/>
      <c r="M35" s="144"/>
      <c r="N35" s="144"/>
      <c r="O35" s="144"/>
      <c r="P35" s="31"/>
      <c r="Q35" s="1"/>
      <c r="R35" s="31"/>
      <c r="S35" s="81"/>
      <c r="T35" s="144"/>
      <c r="U35" s="144"/>
      <c r="V35" s="144"/>
    </row>
    <row r="36" spans="1:22" x14ac:dyDescent="0.3">
      <c r="A36" s="1"/>
      <c r="B36" s="3"/>
      <c r="C36" s="91"/>
      <c r="D36" s="3"/>
      <c r="E36" s="146"/>
      <c r="H36" s="1"/>
      <c r="I36" s="1"/>
      <c r="J36" s="144"/>
      <c r="K36" s="144"/>
      <c r="L36" s="144"/>
      <c r="M36" s="144"/>
      <c r="N36" s="144"/>
      <c r="O36" s="144"/>
      <c r="Q36" s="1"/>
      <c r="S36" s="81"/>
      <c r="T36" s="144"/>
      <c r="U36" s="144"/>
      <c r="V36" s="144"/>
    </row>
    <row r="37" spans="1:22" x14ac:dyDescent="0.3">
      <c r="A37" s="1"/>
      <c r="B37" s="3"/>
      <c r="C37" s="91"/>
      <c r="D37" s="3"/>
      <c r="E37" s="146"/>
      <c r="H37" s="26"/>
      <c r="I37" s="1"/>
      <c r="J37" s="144"/>
      <c r="K37" s="144"/>
      <c r="L37" s="144"/>
      <c r="M37" s="144"/>
      <c r="N37" s="144"/>
      <c r="O37" s="144"/>
      <c r="S37" s="81"/>
      <c r="T37" s="144"/>
      <c r="U37" s="144"/>
      <c r="V37" s="144"/>
    </row>
    <row r="38" spans="1:22" x14ac:dyDescent="0.3">
      <c r="A38" s="1"/>
      <c r="B38" s="3"/>
      <c r="C38" s="91"/>
      <c r="D38" s="3"/>
      <c r="E38" s="146"/>
      <c r="H38" s="26"/>
      <c r="I38" s="1"/>
      <c r="J38" s="144"/>
      <c r="K38" s="144"/>
      <c r="L38" s="144"/>
      <c r="M38" s="144"/>
      <c r="N38" s="144"/>
      <c r="O38" s="144"/>
      <c r="S38" s="81"/>
      <c r="T38" s="144"/>
      <c r="U38" s="144"/>
      <c r="V38" s="144"/>
    </row>
    <row r="39" spans="1:22" ht="19.5" thickBot="1" x14ac:dyDescent="0.35">
      <c r="A39" s="1"/>
      <c r="B39" s="141"/>
      <c r="C39" s="148"/>
      <c r="D39" s="1"/>
      <c r="E39" s="30"/>
      <c r="F39" s="92"/>
      <c r="G39" s="30"/>
      <c r="J39" s="144"/>
      <c r="K39" s="144"/>
      <c r="L39" s="144"/>
      <c r="M39" s="144"/>
      <c r="N39" s="144"/>
      <c r="O39" s="144"/>
      <c r="S39" s="81"/>
      <c r="T39" s="144"/>
      <c r="U39" s="144"/>
      <c r="V39" s="144"/>
    </row>
    <row r="40" spans="1:22" x14ac:dyDescent="0.3">
      <c r="A40" s="1"/>
      <c r="B40" s="31" t="s">
        <v>76</v>
      </c>
      <c r="C40" s="31"/>
      <c r="D40" s="1"/>
      <c r="E40" s="31" t="s">
        <v>77</v>
      </c>
      <c r="G40" s="178" t="s">
        <v>75</v>
      </c>
      <c r="H40" s="178"/>
      <c r="I40" s="178"/>
      <c r="J40" s="144"/>
      <c r="K40" s="144"/>
      <c r="L40" s="144"/>
      <c r="M40" s="144"/>
      <c r="N40" s="144"/>
      <c r="O40" s="144"/>
      <c r="S40" s="81"/>
      <c r="T40" s="144"/>
      <c r="U40" s="144"/>
      <c r="V40" s="144"/>
    </row>
    <row r="41" spans="1:22" x14ac:dyDescent="0.3">
      <c r="B41" s="147" t="s">
        <v>86</v>
      </c>
      <c r="D41" s="1"/>
      <c r="E41" s="147" t="s">
        <v>84</v>
      </c>
      <c r="G41" s="174" t="s">
        <v>83</v>
      </c>
      <c r="H41" s="174"/>
      <c r="I41" s="174"/>
      <c r="J41" s="144"/>
      <c r="K41" s="144"/>
      <c r="L41" s="144"/>
      <c r="M41" s="144"/>
      <c r="N41" s="144"/>
      <c r="O41" s="144"/>
      <c r="Q41" s="1"/>
      <c r="S41" s="81"/>
      <c r="T41" s="144"/>
      <c r="U41" s="144"/>
      <c r="V41" s="144"/>
    </row>
    <row r="42" spans="1:22" x14ac:dyDescent="0.3">
      <c r="A42" s="89"/>
      <c r="J42" s="144"/>
      <c r="K42" s="144"/>
      <c r="L42" s="144"/>
      <c r="M42" s="144"/>
      <c r="N42" s="144"/>
      <c r="O42" s="144"/>
      <c r="Q42" s="1"/>
      <c r="R42" s="162"/>
      <c r="S42" s="81"/>
      <c r="T42" s="144"/>
      <c r="U42" s="144"/>
      <c r="V42" s="144"/>
    </row>
    <row r="43" spans="1:22" x14ac:dyDescent="0.3">
      <c r="J43" s="144"/>
      <c r="K43" s="144"/>
      <c r="L43" s="144"/>
      <c r="M43" s="144"/>
      <c r="N43" s="144"/>
      <c r="O43" s="144"/>
      <c r="S43" s="81"/>
      <c r="T43" s="144"/>
      <c r="U43" s="144"/>
      <c r="V43" s="144"/>
    </row>
    <row r="44" spans="1:22" x14ac:dyDescent="0.3">
      <c r="I44" s="162"/>
      <c r="J44" s="144"/>
      <c r="K44" s="144"/>
      <c r="L44" s="144"/>
      <c r="M44" s="144"/>
      <c r="N44" s="144"/>
      <c r="O44" s="144"/>
      <c r="S44" s="81"/>
      <c r="T44" s="144"/>
      <c r="U44" s="144"/>
      <c r="V44" s="144"/>
    </row>
    <row r="45" spans="1:22" x14ac:dyDescent="0.3">
      <c r="A45" s="1"/>
      <c r="L45" s="81"/>
      <c r="M45" s="1"/>
    </row>
    <row r="46" spans="1:22" x14ac:dyDescent="0.3">
      <c r="A46" s="1"/>
      <c r="D46" s="1"/>
      <c r="L46" s="19"/>
      <c r="M46" s="1"/>
    </row>
    <row r="47" spans="1:22" x14ac:dyDescent="0.3">
      <c r="A47" s="1"/>
      <c r="B47" s="144"/>
      <c r="C47" s="149"/>
      <c r="D47" s="144"/>
      <c r="E47"/>
      <c r="F47"/>
      <c r="G47"/>
      <c r="H47"/>
      <c r="I47"/>
      <c r="J47" s="159"/>
      <c r="K47" s="159"/>
      <c r="L47" s="24"/>
      <c r="M47" s="81"/>
      <c r="N47"/>
      <c r="O47"/>
      <c r="P47" s="144"/>
      <c r="Q47" s="144"/>
      <c r="R47" s="144"/>
    </row>
    <row r="48" spans="1:22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144"/>
      <c r="Q48" s="144"/>
      <c r="R48" s="144"/>
    </row>
    <row r="49" spans="2:19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44"/>
      <c r="Q49" s="144"/>
      <c r="R49" s="144"/>
    </row>
    <row r="50" spans="2:19" x14ac:dyDescent="0.3">
      <c r="B50"/>
      <c r="C50"/>
      <c r="D50"/>
      <c r="E50"/>
      <c r="F50"/>
      <c r="G50" s="167"/>
      <c r="H50" s="167"/>
      <c r="I50" s="24"/>
      <c r="J50" s="81"/>
      <c r="K50"/>
      <c r="L50"/>
      <c r="M50"/>
      <c r="N50"/>
      <c r="O50"/>
      <c r="P50" s="144"/>
      <c r="Q50" s="144"/>
      <c r="R50" s="144"/>
    </row>
    <row r="51" spans="2:19" x14ac:dyDescent="0.3">
      <c r="B51"/>
      <c r="C51"/>
      <c r="D51"/>
      <c r="E51"/>
      <c r="F51"/>
      <c r="G51" s="167"/>
      <c r="H51" s="167"/>
      <c r="I51" s="24"/>
      <c r="J51" s="81"/>
      <c r="K51"/>
      <c r="L51"/>
      <c r="M51"/>
      <c r="N51"/>
      <c r="O51"/>
      <c r="P51" s="144"/>
      <c r="Q51" s="144"/>
      <c r="R51" s="144"/>
    </row>
    <row r="52" spans="2:19" x14ac:dyDescent="0.3">
      <c r="B52"/>
      <c r="C52"/>
      <c r="D52"/>
      <c r="E52"/>
      <c r="F52"/>
      <c r="G52" s="167"/>
      <c r="H52" s="167"/>
      <c r="I52" s="24"/>
      <c r="J52" s="81"/>
      <c r="K52"/>
      <c r="L52"/>
      <c r="M52"/>
      <c r="N52"/>
      <c r="O52"/>
      <c r="P52" s="81"/>
      <c r="Q52" s="144"/>
      <c r="R52" s="144"/>
      <c r="S52" s="144"/>
    </row>
    <row r="53" spans="2:19" x14ac:dyDescent="0.3">
      <c r="B53"/>
      <c r="C53"/>
      <c r="D53"/>
      <c r="E53"/>
      <c r="F53"/>
      <c r="G53" s="72"/>
      <c r="H53" s="1"/>
      <c r="I53" s="92"/>
      <c r="J53"/>
      <c r="K53"/>
      <c r="L53"/>
      <c r="M53"/>
      <c r="N53"/>
      <c r="O53"/>
      <c r="P53" s="81"/>
      <c r="Q53" s="144"/>
      <c r="R53" s="144"/>
      <c r="S53" s="144"/>
    </row>
    <row r="54" spans="2:19" x14ac:dyDescent="0.3">
      <c r="B54"/>
      <c r="C54"/>
      <c r="D54"/>
      <c r="E54"/>
      <c r="F54"/>
      <c r="G54" s="31"/>
      <c r="H54" s="1"/>
      <c r="I54" s="31"/>
      <c r="J54" s="81"/>
      <c r="K54"/>
      <c r="L54"/>
      <c r="M54"/>
      <c r="N54"/>
      <c r="O54"/>
      <c r="P54" s="144"/>
      <c r="Q54" s="144"/>
      <c r="R54" s="144"/>
      <c r="S54" s="144"/>
    </row>
    <row r="55" spans="2:19" x14ac:dyDescent="0.3">
      <c r="B55"/>
      <c r="C55"/>
      <c r="D55"/>
      <c r="E55"/>
      <c r="F55"/>
      <c r="G55" s="166"/>
      <c r="H55" s="1"/>
      <c r="I55" s="166"/>
      <c r="J55" s="81"/>
      <c r="K55"/>
      <c r="L55"/>
      <c r="M55"/>
      <c r="N55"/>
      <c r="O55"/>
      <c r="P55" s="81"/>
      <c r="Q55" s="144"/>
      <c r="R55" s="144"/>
      <c r="S55" s="144"/>
    </row>
    <row r="56" spans="2:19" x14ac:dyDescent="0.3">
      <c r="B56"/>
      <c r="C56"/>
      <c r="D56"/>
      <c r="E56"/>
      <c r="F56"/>
      <c r="G56" s="166"/>
      <c r="H56" s="17"/>
      <c r="I56" s="17"/>
      <c r="J56" s="81"/>
      <c r="K56"/>
      <c r="L56"/>
      <c r="M56"/>
      <c r="N56"/>
      <c r="O56"/>
      <c r="P56" s="81"/>
      <c r="Q56" s="144"/>
      <c r="R56" s="144"/>
      <c r="S56" s="144"/>
    </row>
    <row r="57" spans="2:19" x14ac:dyDescent="0.3">
      <c r="B57"/>
      <c r="C57"/>
      <c r="D57"/>
      <c r="E57"/>
      <c r="F57"/>
      <c r="G57" s="166"/>
      <c r="H57" s="166"/>
      <c r="I57" s="17"/>
      <c r="J57" s="81"/>
      <c r="K57"/>
      <c r="L57"/>
      <c r="M57"/>
      <c r="N57"/>
      <c r="O57"/>
      <c r="P57" s="81"/>
      <c r="Q57" s="144"/>
      <c r="R57" s="144"/>
      <c r="S57" s="144"/>
    </row>
    <row r="58" spans="2:19" x14ac:dyDescent="0.3">
      <c r="B58"/>
      <c r="C58"/>
      <c r="D58"/>
      <c r="E58"/>
      <c r="F58"/>
      <c r="G58" s="166"/>
      <c r="H58" s="166"/>
      <c r="I58" s="17"/>
      <c r="J58" s="81"/>
      <c r="K58"/>
      <c r="L58"/>
      <c r="M58"/>
      <c r="N58"/>
      <c r="O58"/>
      <c r="P58" s="81"/>
      <c r="Q58" s="144"/>
      <c r="R58" s="144"/>
      <c r="S58" s="144"/>
    </row>
    <row r="59" spans="2:19" x14ac:dyDescent="0.3">
      <c r="B59"/>
      <c r="C59"/>
      <c r="D59"/>
      <c r="E59"/>
      <c r="F59"/>
      <c r="G59" s="166"/>
      <c r="H59" s="166"/>
      <c r="I59" s="17"/>
      <c r="J59" s="81"/>
      <c r="K59"/>
      <c r="L59"/>
      <c r="M59"/>
      <c r="N59"/>
      <c r="O59"/>
      <c r="P59" s="81"/>
      <c r="Q59" s="144"/>
      <c r="R59" s="144"/>
      <c r="S59" s="144"/>
    </row>
    <row r="60" spans="2:19" x14ac:dyDescent="0.3">
      <c r="B60"/>
      <c r="C60"/>
      <c r="D60"/>
      <c r="E60"/>
      <c r="F60"/>
      <c r="G60" s="166"/>
      <c r="H60" s="1"/>
      <c r="I60" s="17"/>
      <c r="J60" s="81"/>
      <c r="K60"/>
      <c r="L60"/>
      <c r="M60"/>
      <c r="N60"/>
      <c r="O60"/>
      <c r="P60" s="81"/>
      <c r="Q60" s="144"/>
      <c r="R60" s="144"/>
      <c r="S60" s="144"/>
    </row>
    <row r="61" spans="2:19" x14ac:dyDescent="0.3">
      <c r="B61"/>
      <c r="C61"/>
      <c r="D61"/>
      <c r="E61"/>
      <c r="F61"/>
      <c r="G61" s="166"/>
      <c r="H61" s="1"/>
      <c r="I61" s="25"/>
      <c r="J61" s="81"/>
      <c r="K61"/>
      <c r="L61"/>
      <c r="M61"/>
      <c r="N61"/>
      <c r="O61"/>
      <c r="P61" s="81"/>
      <c r="Q61" s="144"/>
      <c r="R61" s="144"/>
      <c r="S61" s="144"/>
    </row>
    <row r="62" spans="2:19" x14ac:dyDescent="0.3">
      <c r="B62"/>
      <c r="C62"/>
      <c r="D62"/>
      <c r="E62"/>
      <c r="F62"/>
      <c r="G62"/>
      <c r="H62" s="164"/>
      <c r="I62" s="17"/>
      <c r="J62" s="17"/>
      <c r="K62" s="81"/>
      <c r="L62"/>
      <c r="M62"/>
      <c r="N62"/>
      <c r="O62"/>
      <c r="P62" s="81"/>
      <c r="Q62" s="144"/>
      <c r="R62" s="144"/>
      <c r="S62" s="144"/>
    </row>
    <row r="63" spans="2:19" x14ac:dyDescent="0.3">
      <c r="B63"/>
      <c r="C63"/>
      <c r="D63"/>
      <c r="E63"/>
      <c r="F63"/>
      <c r="G63"/>
      <c r="H63" s="17"/>
      <c r="I63" s="17"/>
      <c r="J63" s="25"/>
      <c r="K63" s="164"/>
      <c r="L63"/>
      <c r="M63"/>
      <c r="N63"/>
      <c r="O63"/>
      <c r="P63" s="81"/>
      <c r="Q63" s="144"/>
      <c r="R63" s="144"/>
      <c r="S63" s="144"/>
    </row>
    <row r="64" spans="2:19" x14ac:dyDescent="0.3">
      <c r="B64"/>
      <c r="C64"/>
      <c r="D64"/>
      <c r="E64"/>
      <c r="F64"/>
      <c r="G64"/>
      <c r="H64" s="164"/>
      <c r="I64" s="17"/>
      <c r="J64" s="17"/>
      <c r="K64" s="164"/>
      <c r="L64"/>
      <c r="M64"/>
      <c r="N64"/>
      <c r="O64"/>
      <c r="P64" s="81"/>
      <c r="Q64" s="144"/>
      <c r="R64" s="144"/>
      <c r="S64" s="144"/>
    </row>
    <row r="65" spans="2:15" x14ac:dyDescent="0.3">
      <c r="B65"/>
      <c r="C65"/>
      <c r="D65"/>
      <c r="E65"/>
      <c r="F65"/>
      <c r="G65"/>
      <c r="H65" s="164"/>
      <c r="I65" s="17"/>
      <c r="J65" s="17"/>
      <c r="K65" s="164"/>
      <c r="L65"/>
      <c r="M65"/>
      <c r="N65"/>
      <c r="O65"/>
    </row>
    <row r="66" spans="2:15" x14ac:dyDescent="0.3">
      <c r="B66"/>
      <c r="C66"/>
      <c r="D66"/>
      <c r="E66"/>
      <c r="F66"/>
      <c r="G66"/>
      <c r="H66" s="17"/>
      <c r="I66" s="17"/>
      <c r="J66" s="17"/>
      <c r="K66" s="164"/>
      <c r="L66"/>
      <c r="M66"/>
      <c r="N66"/>
      <c r="O66"/>
    </row>
    <row r="67" spans="2:15" x14ac:dyDescent="0.3">
      <c r="B67"/>
      <c r="C67"/>
      <c r="D67"/>
      <c r="E67"/>
      <c r="F67"/>
      <c r="G67"/>
      <c r="H67" s="164"/>
      <c r="I67" s="17"/>
      <c r="J67" s="17"/>
      <c r="K67" s="164"/>
      <c r="L67"/>
      <c r="M67"/>
      <c r="N67"/>
      <c r="O67"/>
    </row>
    <row r="68" spans="2:15" x14ac:dyDescent="0.3">
      <c r="B68"/>
      <c r="C68"/>
      <c r="D68"/>
      <c r="E68"/>
      <c r="F68"/>
      <c r="G68"/>
      <c r="H68" s="164"/>
      <c r="I68" s="17"/>
      <c r="J68" s="17"/>
      <c r="K68" s="164"/>
      <c r="L68"/>
      <c r="M68"/>
      <c r="N68"/>
      <c r="O68"/>
    </row>
    <row r="69" spans="2:15" x14ac:dyDescent="0.3">
      <c r="B69"/>
      <c r="C69"/>
      <c r="D69"/>
      <c r="E69"/>
      <c r="F69"/>
      <c r="G69"/>
      <c r="H69" s="164"/>
      <c r="I69" s="17"/>
      <c r="J69" s="17"/>
      <c r="K69" s="164"/>
      <c r="L69"/>
      <c r="M69"/>
      <c r="N69"/>
      <c r="O69"/>
    </row>
    <row r="70" spans="2:15" x14ac:dyDescent="0.3">
      <c r="B70"/>
      <c r="C70"/>
      <c r="D70"/>
      <c r="E70"/>
      <c r="F70"/>
      <c r="G70"/>
      <c r="H70" s="164"/>
      <c r="I70" s="164"/>
      <c r="J70" s="17"/>
      <c r="K70" s="164"/>
      <c r="L70"/>
      <c r="M70"/>
      <c r="N70"/>
      <c r="O70"/>
    </row>
    <row r="71" spans="2:15" x14ac:dyDescent="0.3">
      <c r="B71"/>
      <c r="C71"/>
      <c r="D71"/>
      <c r="E71"/>
      <c r="F71"/>
      <c r="G71"/>
      <c r="H71" s="164"/>
      <c r="I71" s="164"/>
      <c r="J71" s="17"/>
      <c r="K71" s="164"/>
      <c r="L71"/>
      <c r="M71"/>
      <c r="N71"/>
      <c r="O71"/>
    </row>
  </sheetData>
  <mergeCells count="13">
    <mergeCell ref="G40:I40"/>
    <mergeCell ref="G41:I41"/>
    <mergeCell ref="C32:D32"/>
    <mergeCell ref="A5:O5"/>
    <mergeCell ref="A6:O6"/>
    <mergeCell ref="A7:O7"/>
    <mergeCell ref="A28:F28"/>
    <mergeCell ref="A9:O9"/>
    <mergeCell ref="A14:O14"/>
    <mergeCell ref="A17:O17"/>
    <mergeCell ref="A25:O25"/>
    <mergeCell ref="A23:O23"/>
    <mergeCell ref="A21:O21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6332-0C97-4FAD-9A75-775E20D2A3E1}">
  <sheetPr>
    <tabColor theme="4"/>
    <pageSetUpPr fitToPage="1"/>
  </sheetPr>
  <dimension ref="A1:Q45"/>
  <sheetViews>
    <sheetView zoomScale="90" zoomScaleNormal="90" zoomScaleSheetLayoutView="112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5.75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5.75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ht="15.75" x14ac:dyDescent="0.25">
      <c r="A4" s="121"/>
      <c r="B4" s="121"/>
      <c r="C4" s="122"/>
      <c r="D4" s="122"/>
      <c r="E4" s="122"/>
      <c r="F4" s="122"/>
      <c r="G4" s="122"/>
      <c r="H4" s="123"/>
      <c r="I4" s="122"/>
      <c r="J4" s="122"/>
      <c r="K4" s="122"/>
      <c r="L4" s="121"/>
      <c r="M4" s="121"/>
      <c r="N4" s="121"/>
      <c r="O4" s="121"/>
      <c r="P4" s="121"/>
      <c r="Q4" s="121"/>
    </row>
    <row r="5" spans="1:17" ht="15.75" x14ac:dyDescent="0.25">
      <c r="A5" s="198" t="s">
        <v>149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1:17" ht="15.75" x14ac:dyDescent="0.25">
      <c r="A6" s="199" t="str">
        <f>+'Nomina Fijo'!A7:O7</f>
        <v>Mes: Abril 2023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</row>
    <row r="7" spans="1:17" ht="16.5" thickBot="1" x14ac:dyDescent="0.3">
      <c r="A7" s="199" t="s">
        <v>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1:17" ht="32.25" thickBot="1" x14ac:dyDescent="0.3">
      <c r="A8" s="124" t="s">
        <v>3</v>
      </c>
      <c r="B8" s="124" t="s">
        <v>150</v>
      </c>
      <c r="C8" s="124" t="s">
        <v>158</v>
      </c>
      <c r="D8" s="124" t="s">
        <v>4</v>
      </c>
      <c r="E8" s="124" t="s">
        <v>151</v>
      </c>
      <c r="F8" s="124" t="s">
        <v>6</v>
      </c>
      <c r="G8" s="124" t="s">
        <v>7</v>
      </c>
      <c r="H8" s="124" t="s">
        <v>42</v>
      </c>
      <c r="I8" s="124" t="s">
        <v>43</v>
      </c>
      <c r="J8" s="124" t="s">
        <v>44</v>
      </c>
      <c r="K8" s="124" t="s">
        <v>45</v>
      </c>
      <c r="L8" s="124" t="s">
        <v>12</v>
      </c>
      <c r="M8" s="124" t="s">
        <v>152</v>
      </c>
      <c r="N8" s="124" t="s">
        <v>152</v>
      </c>
      <c r="O8" s="124" t="s">
        <v>153</v>
      </c>
      <c r="P8" s="125" t="s">
        <v>154</v>
      </c>
      <c r="Q8" s="124" t="s">
        <v>13</v>
      </c>
    </row>
    <row r="9" spans="1:17" ht="16.5" thickBot="1" x14ac:dyDescent="0.3">
      <c r="A9" s="126">
        <v>1</v>
      </c>
      <c r="B9" s="127" t="s">
        <v>155</v>
      </c>
      <c r="C9" s="128" t="s">
        <v>156</v>
      </c>
      <c r="D9" s="128" t="s">
        <v>156</v>
      </c>
      <c r="E9" s="118">
        <v>25000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f>+E9</f>
        <v>25000</v>
      </c>
    </row>
    <row r="10" spans="1:17" ht="16.5" thickBot="1" x14ac:dyDescent="0.3">
      <c r="A10" s="200" t="s">
        <v>53</v>
      </c>
      <c r="B10" s="201"/>
      <c r="C10" s="201"/>
      <c r="D10" s="201"/>
      <c r="E10" s="129">
        <f t="shared" ref="E10:Q10" si="0">SUM(E9:E9)</f>
        <v>25000</v>
      </c>
      <c r="F10" s="129">
        <f t="shared" si="0"/>
        <v>0</v>
      </c>
      <c r="G10" s="129">
        <f t="shared" si="0"/>
        <v>0</v>
      </c>
      <c r="H10" s="129">
        <f t="shared" si="0"/>
        <v>0</v>
      </c>
      <c r="I10" s="129">
        <f t="shared" si="0"/>
        <v>0</v>
      </c>
      <c r="J10" s="129">
        <f t="shared" si="0"/>
        <v>0</v>
      </c>
      <c r="K10" s="129">
        <f t="shared" si="0"/>
        <v>0</v>
      </c>
      <c r="L10" s="129">
        <f t="shared" si="0"/>
        <v>0</v>
      </c>
      <c r="M10" s="129">
        <f t="shared" si="0"/>
        <v>0</v>
      </c>
      <c r="N10" s="129">
        <f t="shared" si="0"/>
        <v>0</v>
      </c>
      <c r="O10" s="129">
        <f t="shared" si="0"/>
        <v>0</v>
      </c>
      <c r="P10" s="129">
        <f t="shared" si="0"/>
        <v>0</v>
      </c>
      <c r="Q10" s="129">
        <f t="shared" si="0"/>
        <v>25000</v>
      </c>
    </row>
    <row r="11" spans="1:17" ht="15.75" x14ac:dyDescent="0.25">
      <c r="A11" s="130"/>
      <c r="B11" s="130"/>
      <c r="C11" s="130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21"/>
      <c r="O11" s="121"/>
      <c r="P11" s="121"/>
      <c r="Q11" s="121"/>
    </row>
    <row r="12" spans="1:17" ht="16.5" thickBot="1" x14ac:dyDescent="0.3">
      <c r="A12" s="121"/>
      <c r="B12" s="122" t="s">
        <v>157</v>
      </c>
      <c r="C12" s="132">
        <f>E10-P10</f>
        <v>25000</v>
      </c>
      <c r="D12" s="120"/>
      <c r="E12" s="120"/>
      <c r="F12" s="133"/>
      <c r="G12" s="120"/>
      <c r="H12" s="121"/>
      <c r="I12" s="121"/>
      <c r="J12" s="134"/>
      <c r="K12" s="134"/>
      <c r="L12" s="134"/>
      <c r="M12" s="134"/>
      <c r="N12" s="121"/>
      <c r="O12" s="121"/>
      <c r="P12" s="121"/>
      <c r="Q12" s="134"/>
    </row>
    <row r="13" spans="1:17" ht="16.5" thickTop="1" x14ac:dyDescent="0.25">
      <c r="A13" s="121"/>
      <c r="B13" s="121"/>
      <c r="C13" s="121"/>
      <c r="D13" s="135"/>
      <c r="E13" s="136"/>
      <c r="F13" s="137"/>
      <c r="G13" s="137"/>
      <c r="H13" s="121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 ht="15.75" x14ac:dyDescent="0.25">
      <c r="A14" s="121"/>
      <c r="B14" s="121"/>
      <c r="C14" s="121"/>
      <c r="D14" s="120"/>
      <c r="E14" s="136"/>
      <c r="F14" s="133"/>
      <c r="G14" s="121"/>
      <c r="H14" s="121"/>
      <c r="I14" s="121"/>
      <c r="J14" s="121"/>
      <c r="K14" s="134"/>
      <c r="L14" s="121"/>
      <c r="M14" s="120"/>
      <c r="N14" s="134"/>
      <c r="O14" s="134"/>
      <c r="P14" s="134"/>
      <c r="Q14" s="134"/>
    </row>
    <row r="15" spans="1:17" ht="15.75" x14ac:dyDescent="0.25">
      <c r="A15" s="121"/>
      <c r="C15" s="121"/>
      <c r="D15" s="121"/>
      <c r="E15" s="136"/>
      <c r="F15" s="134"/>
      <c r="G15" s="121"/>
      <c r="H15" s="121"/>
      <c r="I15" s="121"/>
      <c r="J15" s="121"/>
      <c r="K15" s="121"/>
      <c r="L15" s="121"/>
      <c r="M15" s="120"/>
    </row>
    <row r="16" spans="1:17" ht="18.75" x14ac:dyDescent="0.3">
      <c r="A16" s="3"/>
      <c r="B16" s="3"/>
      <c r="C16" s="3"/>
      <c r="D16" s="24"/>
      <c r="E16" s="81"/>
      <c r="F16" s="116"/>
      <c r="G16" s="1"/>
      <c r="H16" s="1"/>
    </row>
    <row r="17" spans="1:11" ht="18.75" x14ac:dyDescent="0.3">
      <c r="A17" s="3"/>
      <c r="B17" s="3"/>
      <c r="C17" s="3"/>
      <c r="D17" s="24"/>
      <c r="E17" s="81"/>
      <c r="F17" s="25"/>
      <c r="G17" s="1"/>
      <c r="H17" s="1"/>
    </row>
    <row r="18" spans="1:11" ht="18.75" x14ac:dyDescent="0.3">
      <c r="A18" s="3"/>
      <c r="B18" s="3"/>
      <c r="C18" s="3"/>
      <c r="D18" s="24"/>
      <c r="E18" s="81"/>
      <c r="F18" s="116"/>
      <c r="G18" s="1"/>
      <c r="H18" s="1"/>
    </row>
    <row r="19" spans="1:11" ht="18.75" x14ac:dyDescent="0.3">
      <c r="A19" s="3"/>
      <c r="B19" s="3"/>
      <c r="C19" s="3"/>
      <c r="D19" s="24"/>
      <c r="E19" s="81"/>
      <c r="F19" s="116"/>
      <c r="G19" s="26"/>
      <c r="H19" s="1"/>
    </row>
    <row r="20" spans="1:11" ht="18.75" x14ac:dyDescent="0.3">
      <c r="A20" s="3"/>
      <c r="B20" s="3"/>
      <c r="C20" s="3"/>
      <c r="D20" s="24"/>
      <c r="E20" s="81"/>
      <c r="F20" s="116"/>
      <c r="G20" s="26"/>
      <c r="H20" s="1"/>
    </row>
    <row r="21" spans="1:11" ht="19.5" thickBot="1" x14ac:dyDescent="0.35">
      <c r="B21" s="27"/>
      <c r="C21" s="1"/>
      <c r="D21" s="28"/>
      <c r="E21" s="140"/>
      <c r="F21" s="141"/>
      <c r="G21" s="116"/>
      <c r="I21" s="142"/>
      <c r="J21" s="142"/>
      <c r="K21" s="142"/>
    </row>
    <row r="22" spans="1:11" ht="18.75" x14ac:dyDescent="0.3">
      <c r="B22" s="47" t="s">
        <v>76</v>
      </c>
      <c r="C22" s="1"/>
      <c r="D22" s="195" t="s">
        <v>77</v>
      </c>
      <c r="E22" s="195"/>
      <c r="F22" s="195"/>
      <c r="I22" s="196" t="s">
        <v>75</v>
      </c>
      <c r="J22" s="196"/>
      <c r="K22" s="196"/>
    </row>
    <row r="23" spans="1:11" ht="18.75" x14ac:dyDescent="0.3">
      <c r="B23" s="64" t="s">
        <v>86</v>
      </c>
      <c r="C23" s="17"/>
      <c r="E23" s="116" t="s">
        <v>84</v>
      </c>
      <c r="I23" s="197" t="s">
        <v>83</v>
      </c>
      <c r="J23" s="197"/>
      <c r="K23" s="197"/>
    </row>
    <row r="24" spans="1:11" ht="18.75" x14ac:dyDescent="0.3">
      <c r="A24" s="116"/>
      <c r="H24" s="165"/>
      <c r="I24" s="165"/>
      <c r="J24" s="24"/>
      <c r="K24" s="81"/>
    </row>
    <row r="25" spans="1:11" ht="18.75" x14ac:dyDescent="0.3">
      <c r="A25" s="116"/>
    </row>
    <row r="26" spans="1:11" ht="18.75" x14ac:dyDescent="0.3">
      <c r="A26" s="116"/>
    </row>
    <row r="27" spans="1:11" ht="18.75" x14ac:dyDescent="0.3">
      <c r="A27" s="116"/>
      <c r="G27" s="167"/>
      <c r="H27" s="167"/>
      <c r="I27" s="24"/>
      <c r="J27" s="81"/>
    </row>
    <row r="28" spans="1:11" ht="18.75" x14ac:dyDescent="0.3">
      <c r="G28" s="167"/>
      <c r="H28" s="167"/>
      <c r="I28" s="24"/>
      <c r="J28" s="81"/>
    </row>
    <row r="29" spans="1:11" ht="18.75" x14ac:dyDescent="0.3">
      <c r="G29" s="167"/>
      <c r="H29" s="167"/>
      <c r="I29" s="24"/>
      <c r="J29" s="81"/>
    </row>
    <row r="30" spans="1:11" ht="18.75" x14ac:dyDescent="0.3">
      <c r="G30" s="72"/>
      <c r="H30" s="1"/>
      <c r="I30" s="92"/>
    </row>
    <row r="31" spans="1:11" ht="18.75" x14ac:dyDescent="0.3">
      <c r="G31" s="31"/>
      <c r="H31" s="1"/>
      <c r="I31" s="31"/>
      <c r="J31" s="81"/>
    </row>
    <row r="32" spans="1:11" ht="18.75" x14ac:dyDescent="0.3">
      <c r="G32" s="166"/>
      <c r="H32" s="1"/>
      <c r="I32" s="166"/>
      <c r="J32" s="81"/>
    </row>
    <row r="33" spans="7:11" ht="18.75" x14ac:dyDescent="0.3">
      <c r="G33" s="166"/>
      <c r="H33" s="17"/>
      <c r="I33" s="17"/>
      <c r="J33" s="81"/>
    </row>
    <row r="34" spans="7:11" ht="18.75" x14ac:dyDescent="0.3">
      <c r="G34" s="166"/>
      <c r="H34" s="166"/>
      <c r="I34" s="17"/>
      <c r="J34" s="81"/>
    </row>
    <row r="35" spans="7:11" ht="18.75" x14ac:dyDescent="0.3">
      <c r="G35" s="166"/>
      <c r="H35" s="166"/>
      <c r="I35" s="17"/>
      <c r="J35" s="81"/>
    </row>
    <row r="36" spans="7:11" ht="18.75" x14ac:dyDescent="0.3">
      <c r="G36" s="166"/>
      <c r="H36" s="166"/>
      <c r="I36" s="17"/>
      <c r="J36" s="81"/>
    </row>
    <row r="37" spans="7:11" ht="18.75" x14ac:dyDescent="0.3">
      <c r="G37" s="166"/>
      <c r="H37" s="1"/>
      <c r="I37" s="17"/>
      <c r="J37" s="81"/>
    </row>
    <row r="38" spans="7:11" ht="18.75" x14ac:dyDescent="0.3">
      <c r="G38" s="166"/>
      <c r="H38" s="1"/>
      <c r="I38" s="25"/>
      <c r="J38" s="81"/>
    </row>
    <row r="39" spans="7:11" ht="18.75" x14ac:dyDescent="0.3">
      <c r="H39" s="164"/>
      <c r="I39" s="17"/>
      <c r="J39" s="17"/>
      <c r="K39" s="164"/>
    </row>
    <row r="40" spans="7:11" ht="18.75" x14ac:dyDescent="0.3">
      <c r="H40" s="17"/>
      <c r="I40" s="17"/>
      <c r="J40" s="17"/>
      <c r="K40" s="164"/>
    </row>
    <row r="41" spans="7:11" ht="18.75" x14ac:dyDescent="0.3">
      <c r="H41" s="164"/>
      <c r="I41" s="17"/>
      <c r="J41" s="17"/>
      <c r="K41" s="164"/>
    </row>
    <row r="42" spans="7:11" ht="18.75" x14ac:dyDescent="0.3">
      <c r="H42" s="164"/>
      <c r="I42" s="17"/>
      <c r="J42" s="17"/>
      <c r="K42" s="164"/>
    </row>
    <row r="43" spans="7:11" ht="18.75" x14ac:dyDescent="0.3">
      <c r="H43" s="164"/>
      <c r="I43" s="17"/>
      <c r="J43" s="17"/>
      <c r="K43" s="164"/>
    </row>
    <row r="44" spans="7:11" ht="18.75" x14ac:dyDescent="0.3">
      <c r="H44" s="164"/>
      <c r="I44" s="164"/>
      <c r="J44" s="17"/>
      <c r="K44" s="164"/>
    </row>
    <row r="45" spans="7:11" ht="18.75" x14ac:dyDescent="0.3">
      <c r="H45" s="164"/>
      <c r="I45" s="164"/>
      <c r="J45" s="17"/>
      <c r="K45" s="164"/>
    </row>
  </sheetData>
  <mergeCells count="7">
    <mergeCell ref="D22:F22"/>
    <mergeCell ref="I22:K22"/>
    <mergeCell ref="I23:K23"/>
    <mergeCell ref="A5:O5"/>
    <mergeCell ref="A6:O6"/>
    <mergeCell ref="A7:O7"/>
    <mergeCell ref="A10:D10"/>
  </mergeCells>
  <pageMargins left="1" right="1" top="1" bottom="1" header="0.5" footer="0.5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4:R54"/>
  <sheetViews>
    <sheetView showGridLines="0" zoomScale="80" zoomScaleNormal="80" zoomScaleSheetLayoutView="80" workbookViewId="0"/>
  </sheetViews>
  <sheetFormatPr baseColWidth="10" defaultColWidth="11.42578125" defaultRowHeight="18.75" x14ac:dyDescent="0.3"/>
  <cols>
    <col min="1" max="1" width="6.42578125" style="115" bestFit="1" customWidth="1"/>
    <col min="2" max="2" width="43.28515625" style="83" bestFit="1" customWidth="1"/>
    <col min="3" max="3" width="10.85546875" style="85" bestFit="1" customWidth="1"/>
    <col min="4" max="4" width="55.42578125" style="83" bestFit="1" customWidth="1"/>
    <col min="5" max="5" width="47.5703125" style="17" bestFit="1" customWidth="1"/>
    <col min="6" max="6" width="25.42578125" style="83" bestFit="1" customWidth="1"/>
    <col min="7" max="7" width="16.5703125" style="83" customWidth="1"/>
    <col min="8" max="8" width="22.140625" style="83" bestFit="1" customWidth="1"/>
    <col min="9" max="9" width="15.42578125" style="83" bestFit="1" customWidth="1"/>
    <col min="10" max="10" width="18.140625" style="83" customWidth="1"/>
    <col min="11" max="11" width="19.85546875" style="83" customWidth="1"/>
    <col min="12" max="12" width="21.140625" style="83" customWidth="1"/>
    <col min="13" max="13" width="20.140625" style="83" customWidth="1"/>
    <col min="14" max="14" width="18" style="83" bestFit="1" customWidth="1"/>
    <col min="15" max="15" width="22.140625" style="83" bestFit="1" customWidth="1"/>
    <col min="16" max="16" width="24.28515625" style="83" customWidth="1"/>
    <col min="17" max="16384" width="11.42578125" style="83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73" t="s">
        <v>137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x14ac:dyDescent="0.3">
      <c r="A6" s="188" t="str">
        <f>+'Nomina Fijo'!A7:P7</f>
        <v>Mes: Abril 2023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ht="19.5" thickBot="1" x14ac:dyDescent="0.35">
      <c r="A7" s="172" t="s">
        <v>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1:15" ht="38.25" thickBot="1" x14ac:dyDescent="0.35">
      <c r="A8" s="77" t="s">
        <v>3</v>
      </c>
      <c r="B8" s="78" t="s">
        <v>79</v>
      </c>
      <c r="C8" s="78" t="s">
        <v>115</v>
      </c>
      <c r="D8" s="78" t="s">
        <v>81</v>
      </c>
      <c r="E8" s="79" t="s">
        <v>4</v>
      </c>
      <c r="F8" s="77" t="s">
        <v>41</v>
      </c>
      <c r="G8" s="78" t="s">
        <v>85</v>
      </c>
      <c r="H8" s="78" t="s">
        <v>6</v>
      </c>
      <c r="I8" s="79" t="s">
        <v>7</v>
      </c>
      <c r="J8" s="79" t="s">
        <v>42</v>
      </c>
      <c r="K8" s="79" t="s">
        <v>43</v>
      </c>
      <c r="L8" s="79" t="s">
        <v>44</v>
      </c>
      <c r="M8" s="79" t="s">
        <v>45</v>
      </c>
      <c r="N8" s="80" t="s">
        <v>12</v>
      </c>
      <c r="O8" s="77" t="s">
        <v>13</v>
      </c>
    </row>
    <row r="9" spans="1:15" s="115" customFormat="1" ht="19.5" customHeight="1" thickBot="1" x14ac:dyDescent="0.35">
      <c r="A9" s="189" t="s">
        <v>142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</row>
    <row r="10" spans="1:15" s="115" customFormat="1" ht="19.5" thickBot="1" x14ac:dyDescent="0.35">
      <c r="A10" s="69">
        <v>4</v>
      </c>
      <c r="B10" s="9" t="s">
        <v>143</v>
      </c>
      <c r="C10" s="115" t="s">
        <v>117</v>
      </c>
      <c r="D10" s="9" t="s">
        <v>130</v>
      </c>
      <c r="E10" s="9" t="s">
        <v>111</v>
      </c>
      <c r="F10" s="9" t="s">
        <v>131</v>
      </c>
      <c r="G10" s="105">
        <v>52000</v>
      </c>
      <c r="H10" s="105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105">
        <v>25</v>
      </c>
      <c r="J10" s="105">
        <f>ROUND(IF((G10)&gt;(15600*20),((15600*20)*0.0287),(G10)*0.0287),2)</f>
        <v>1492.4</v>
      </c>
      <c r="K10" s="105">
        <f>ROUND(IF((G10)&gt;(15600*10),((15600*10)*0.0304),(G10)*0.0304),2)</f>
        <v>1580.8</v>
      </c>
      <c r="L10" s="105">
        <f>ROUND(IF((G10)&gt;(15600*20),((15600*20)*0.071),(G10)*0.071),2)</f>
        <v>3692</v>
      </c>
      <c r="M10" s="105">
        <f>ROUND(IF((G10)&gt;(15600*10),((15600*10)*0.0709),(G10)*0.0709),2)</f>
        <v>3686.8</v>
      </c>
      <c r="N10" s="105">
        <f>+ROUND(IF(G10&gt;(15600*4),((15600*4)*0.0115),G10*0.0115),2)</f>
        <v>598</v>
      </c>
      <c r="O10" s="105">
        <f>+G10-H10-I10-J10-K10</f>
        <v>46765.53</v>
      </c>
    </row>
    <row r="11" spans="1:15" ht="19.5" thickBot="1" x14ac:dyDescent="0.35">
      <c r="A11" s="193" t="s">
        <v>53</v>
      </c>
      <c r="B11" s="194"/>
      <c r="C11" s="194"/>
      <c r="D11" s="194"/>
      <c r="E11" s="194"/>
      <c r="F11" s="202"/>
      <c r="G11" s="16">
        <f>SUM(+G10)</f>
        <v>52000</v>
      </c>
      <c r="H11" s="16">
        <f t="shared" ref="H11:O11" si="0">SUM(+H10)</f>
        <v>2136.27</v>
      </c>
      <c r="I11" s="16">
        <f t="shared" si="0"/>
        <v>25</v>
      </c>
      <c r="J11" s="16">
        <f t="shared" si="0"/>
        <v>1492.4</v>
      </c>
      <c r="K11" s="16">
        <f t="shared" si="0"/>
        <v>1580.8</v>
      </c>
      <c r="L11" s="16">
        <f t="shared" si="0"/>
        <v>3692</v>
      </c>
      <c r="M11" s="16">
        <f t="shared" si="0"/>
        <v>3686.8</v>
      </c>
      <c r="N11" s="16">
        <f t="shared" si="0"/>
        <v>598</v>
      </c>
      <c r="O11" s="16">
        <f t="shared" si="0"/>
        <v>46765.53</v>
      </c>
    </row>
    <row r="12" spans="1:15" x14ac:dyDescent="0.3">
      <c r="A12" s="1"/>
      <c r="G12" s="23"/>
      <c r="H12" s="1"/>
      <c r="I12" s="1" t="s">
        <v>0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18"/>
      <c r="F13" s="19"/>
      <c r="G13" s="1"/>
      <c r="H13" s="20"/>
      <c r="I13" s="1"/>
      <c r="J13" s="20"/>
      <c r="K13" s="20"/>
      <c r="L13" s="20"/>
      <c r="M13" s="1"/>
      <c r="N13" s="1"/>
      <c r="O13" s="20"/>
    </row>
    <row r="14" spans="1:15" s="21" customFormat="1" x14ac:dyDescent="0.3">
      <c r="A14" s="1"/>
      <c r="B14" s="1"/>
      <c r="C14" s="1"/>
      <c r="D14" s="1"/>
      <c r="E14" s="18"/>
      <c r="F14" s="19"/>
      <c r="G14" s="1"/>
      <c r="H14" s="1"/>
      <c r="I14" s="1"/>
      <c r="J14" s="20"/>
      <c r="K14" s="20"/>
      <c r="L14" s="20"/>
      <c r="M14" s="20"/>
      <c r="N14" s="20"/>
      <c r="O14" s="20"/>
    </row>
    <row r="15" spans="1:15" ht="19.5" thickBot="1" x14ac:dyDescent="0.35">
      <c r="A15" s="1"/>
      <c r="D15" s="3" t="s">
        <v>28</v>
      </c>
      <c r="E15" s="22">
        <f>+G11+L11+M11</f>
        <v>59378.8</v>
      </c>
      <c r="H15" s="1"/>
      <c r="I15" s="1"/>
      <c r="J15" s="1"/>
      <c r="K15" s="20"/>
      <c r="L15" s="20"/>
      <c r="M15" s="20"/>
      <c r="N15" s="20"/>
      <c r="O15" s="23"/>
    </row>
    <row r="16" spans="1:15" ht="19.5" thickTop="1" x14ac:dyDescent="0.3">
      <c r="A16" s="1"/>
      <c r="B16" s="3"/>
      <c r="C16" s="3"/>
      <c r="D16" s="3"/>
      <c r="E16" s="24"/>
      <c r="H16" s="1"/>
      <c r="I16" s="1"/>
      <c r="J16" s="1"/>
      <c r="K16" s="20"/>
      <c r="L16" s="20"/>
      <c r="M16" s="20"/>
      <c r="N16" s="20"/>
      <c r="O16" s="23"/>
    </row>
    <row r="17" spans="1:18" x14ac:dyDescent="0.3">
      <c r="A17" s="1"/>
      <c r="B17" s="3"/>
      <c r="C17" s="3"/>
      <c r="D17" s="3"/>
      <c r="E17" s="24"/>
      <c r="F17" s="106"/>
      <c r="G17" s="25"/>
      <c r="H17" s="1"/>
      <c r="I17" s="1"/>
      <c r="J17" s="1"/>
      <c r="K17" s="20"/>
      <c r="L17" s="20"/>
      <c r="M17" s="20"/>
      <c r="N17" s="20"/>
      <c r="O17" s="23"/>
    </row>
    <row r="18" spans="1:18" x14ac:dyDescent="0.3">
      <c r="A18" s="1"/>
      <c r="B18" s="3"/>
      <c r="C18" s="3"/>
      <c r="D18" s="3"/>
      <c r="E18" s="24"/>
      <c r="F18" s="106"/>
      <c r="G18" s="106"/>
      <c r="H18" s="1"/>
      <c r="I18" s="1"/>
      <c r="J18" s="1"/>
      <c r="K18" s="20"/>
      <c r="L18" s="20"/>
      <c r="M18" s="20"/>
      <c r="N18" s="20"/>
      <c r="O18" s="23"/>
    </row>
    <row r="19" spans="1:18" s="113" customFormat="1" x14ac:dyDescent="0.3">
      <c r="A19" s="1"/>
      <c r="B19" s="3"/>
      <c r="C19" s="3"/>
      <c r="D19" s="3"/>
      <c r="E19" s="24"/>
      <c r="F19" s="114"/>
      <c r="G19" s="114"/>
      <c r="H19" s="1"/>
      <c r="I19" s="1"/>
      <c r="J19" s="1"/>
      <c r="K19" s="20"/>
      <c r="L19" s="20"/>
      <c r="M19" s="20"/>
      <c r="N19" s="20"/>
      <c r="O19" s="23"/>
    </row>
    <row r="20" spans="1:18" x14ac:dyDescent="0.3">
      <c r="A20" s="1"/>
      <c r="B20" s="3"/>
      <c r="C20" s="3"/>
      <c r="D20" s="1"/>
      <c r="E20" s="24"/>
      <c r="F20" s="114"/>
      <c r="G20" s="114"/>
      <c r="H20" s="26"/>
      <c r="I20" s="1"/>
      <c r="J20" s="1"/>
      <c r="K20" s="20"/>
      <c r="L20" s="20"/>
      <c r="M20" s="20"/>
      <c r="N20" s="20"/>
      <c r="O20" s="23"/>
    </row>
    <row r="21" spans="1:18" ht="19.5" thickBot="1" x14ac:dyDescent="0.35">
      <c r="A21" s="1"/>
      <c r="B21" s="27"/>
      <c r="C21" s="89"/>
      <c r="D21" s="1"/>
      <c r="E21" s="28"/>
      <c r="F21" s="26"/>
      <c r="G21" s="30"/>
      <c r="H21" s="114"/>
      <c r="I21" s="114"/>
      <c r="J21" s="89"/>
      <c r="K21" s="114"/>
      <c r="L21" s="114"/>
      <c r="M21" s="114"/>
      <c r="N21" s="114"/>
    </row>
    <row r="22" spans="1:18" x14ac:dyDescent="0.3">
      <c r="A22" s="1"/>
      <c r="B22" s="31" t="s">
        <v>76</v>
      </c>
      <c r="C22" s="31"/>
      <c r="D22" s="1"/>
      <c r="E22" s="31" t="s">
        <v>77</v>
      </c>
      <c r="F22" s="114"/>
      <c r="G22" s="178" t="s">
        <v>75</v>
      </c>
      <c r="H22" s="178"/>
      <c r="I22" s="178"/>
      <c r="J22" s="110"/>
      <c r="K22" s="114"/>
      <c r="L22" s="114"/>
      <c r="M22" s="114"/>
      <c r="N22" s="114"/>
    </row>
    <row r="23" spans="1:18" x14ac:dyDescent="0.3">
      <c r="B23" s="114" t="s">
        <v>86</v>
      </c>
      <c r="C23" s="114"/>
      <c r="D23" s="17"/>
      <c r="E23" s="114" t="s">
        <v>84</v>
      </c>
      <c r="F23" s="114"/>
      <c r="G23" s="174" t="s">
        <v>83</v>
      </c>
      <c r="H23" s="174"/>
      <c r="I23" s="174"/>
      <c r="J23" s="111"/>
      <c r="K23" s="114"/>
      <c r="L23" s="114"/>
      <c r="M23" s="114"/>
      <c r="N23" s="114"/>
    </row>
    <row r="24" spans="1:18" x14ac:dyDescent="0.3">
      <c r="A24" s="89"/>
      <c r="B24" s="114"/>
      <c r="C24" s="114"/>
      <c r="D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8" x14ac:dyDescent="0.3">
      <c r="B25" s="114"/>
      <c r="C25" s="114"/>
      <c r="D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spans="1:18" x14ac:dyDescent="0.3">
      <c r="B26"/>
      <c r="C26"/>
      <c r="D26"/>
      <c r="E26"/>
      <c r="F26"/>
      <c r="G26"/>
      <c r="H26" s="3"/>
      <c r="I26" s="3"/>
      <c r="J26" s="24"/>
      <c r="K26" s="81"/>
      <c r="L26"/>
      <c r="M26"/>
      <c r="N26"/>
    </row>
    <row r="27" spans="1:18" x14ac:dyDescent="0.3">
      <c r="A27" s="1"/>
      <c r="B27"/>
      <c r="C27"/>
      <c r="D27"/>
      <c r="E27"/>
      <c r="F27"/>
      <c r="G27"/>
      <c r="H27" s="3"/>
      <c r="I27" s="3"/>
      <c r="J27" s="24"/>
      <c r="K27" s="81"/>
      <c r="L27"/>
      <c r="M27"/>
      <c r="N27"/>
      <c r="O27" s="108"/>
      <c r="P27" s="108"/>
      <c r="Q27" s="108"/>
      <c r="R27" s="108"/>
    </row>
    <row r="28" spans="1:18" x14ac:dyDescent="0.3">
      <c r="A28" s="1"/>
      <c r="B28"/>
      <c r="C28"/>
      <c r="D28"/>
      <c r="E28"/>
      <c r="F28"/>
      <c r="G28"/>
      <c r="H28" s="72"/>
      <c r="I28" s="1"/>
      <c r="J28" s="92"/>
      <c r="K28"/>
      <c r="L28"/>
      <c r="M28"/>
      <c r="N28"/>
      <c r="O28" s="108"/>
      <c r="P28" s="108"/>
      <c r="Q28" s="108"/>
      <c r="R28" s="108"/>
    </row>
    <row r="29" spans="1:18" x14ac:dyDescent="0.3">
      <c r="A29" s="1"/>
      <c r="B29"/>
      <c r="C29"/>
      <c r="D29"/>
      <c r="E29"/>
      <c r="F29"/>
      <c r="G29" s="163"/>
      <c r="H29" s="163"/>
      <c r="I29" s="24"/>
      <c r="J29" s="81"/>
      <c r="K29"/>
      <c r="L29"/>
      <c r="M29"/>
      <c r="N29"/>
      <c r="O29" s="108"/>
      <c r="P29" s="108"/>
      <c r="Q29" s="108"/>
      <c r="R29" s="108"/>
    </row>
    <row r="30" spans="1:18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108"/>
    </row>
    <row r="31" spans="1:18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108"/>
    </row>
    <row r="32" spans="1:18" x14ac:dyDescent="0.3">
      <c r="B32"/>
      <c r="C32"/>
      <c r="D32"/>
      <c r="E32"/>
      <c r="F32"/>
      <c r="G32" s="167"/>
      <c r="H32" s="167"/>
      <c r="I32" s="24"/>
      <c r="J32" s="81"/>
      <c r="K32"/>
      <c r="L32"/>
      <c r="M32"/>
      <c r="N32"/>
      <c r="O32"/>
      <c r="P32"/>
      <c r="Q32"/>
      <c r="R32" s="108"/>
    </row>
    <row r="33" spans="2:18" x14ac:dyDescent="0.3">
      <c r="B33"/>
      <c r="C33"/>
      <c r="D33"/>
      <c r="E33"/>
      <c r="F33"/>
      <c r="G33" s="167"/>
      <c r="H33" s="167"/>
      <c r="I33" s="24"/>
      <c r="J33" s="81"/>
      <c r="K33"/>
      <c r="L33"/>
      <c r="M33"/>
      <c r="N33"/>
      <c r="O33"/>
      <c r="P33"/>
      <c r="Q33"/>
      <c r="R33" s="23"/>
    </row>
    <row r="34" spans="2:18" x14ac:dyDescent="0.3">
      <c r="B34"/>
      <c r="C34"/>
      <c r="D34"/>
      <c r="E34"/>
      <c r="F34"/>
      <c r="G34" s="167"/>
      <c r="H34" s="167"/>
      <c r="I34" s="24"/>
      <c r="J34" s="81"/>
      <c r="K34"/>
      <c r="L34"/>
      <c r="M34"/>
      <c r="N34"/>
      <c r="O34"/>
      <c r="P34"/>
      <c r="Q34"/>
      <c r="R34" s="108"/>
    </row>
    <row r="35" spans="2:18" x14ac:dyDescent="0.3">
      <c r="B35"/>
      <c r="C35"/>
      <c r="D35"/>
      <c r="E35"/>
      <c r="F35"/>
      <c r="G35" s="72"/>
      <c r="H35" s="1"/>
      <c r="I35" s="92"/>
      <c r="J35"/>
      <c r="K35"/>
      <c r="L35"/>
      <c r="M35"/>
      <c r="N35"/>
      <c r="O35"/>
      <c r="P35"/>
      <c r="Q35"/>
      <c r="R35" s="108"/>
    </row>
    <row r="36" spans="2:18" x14ac:dyDescent="0.3">
      <c r="B36"/>
      <c r="C36"/>
      <c r="D36"/>
      <c r="E36"/>
      <c r="F36"/>
      <c r="G36" s="31"/>
      <c r="H36" s="1"/>
      <c r="I36" s="31"/>
      <c r="J36" s="81"/>
      <c r="K36"/>
      <c r="L36"/>
      <c r="M36"/>
      <c r="N36"/>
      <c r="O36"/>
      <c r="P36"/>
      <c r="Q36"/>
      <c r="R36" s="108"/>
    </row>
    <row r="37" spans="2:18" x14ac:dyDescent="0.3">
      <c r="B37"/>
      <c r="C37"/>
      <c r="D37"/>
      <c r="E37"/>
      <c r="F37"/>
      <c r="G37" s="166"/>
      <c r="H37" s="1"/>
      <c r="I37" s="166"/>
      <c r="J37" s="81"/>
      <c r="K37"/>
      <c r="L37"/>
      <c r="M37"/>
      <c r="N37"/>
      <c r="O37"/>
      <c r="P37"/>
      <c r="Q37"/>
      <c r="R37" s="108"/>
    </row>
    <row r="38" spans="2:18" x14ac:dyDescent="0.3">
      <c r="B38"/>
      <c r="C38"/>
      <c r="D38"/>
      <c r="E38"/>
      <c r="F38"/>
      <c r="G38" s="166"/>
      <c r="H38" s="17"/>
      <c r="I38" s="17"/>
      <c r="J38" s="81"/>
      <c r="K38"/>
      <c r="L38"/>
      <c r="M38"/>
      <c r="N38"/>
      <c r="O38"/>
      <c r="P38"/>
      <c r="Q38"/>
      <c r="R38" s="108"/>
    </row>
    <row r="39" spans="2:18" x14ac:dyDescent="0.3">
      <c r="B39"/>
      <c r="C39"/>
      <c r="D39"/>
      <c r="E39"/>
      <c r="F39"/>
      <c r="G39" s="166"/>
      <c r="H39" s="166"/>
      <c r="I39" s="17"/>
      <c r="J39" s="81"/>
      <c r="K39"/>
      <c r="L39"/>
      <c r="M39"/>
      <c r="N39"/>
      <c r="O39"/>
      <c r="P39"/>
      <c r="Q39"/>
      <c r="R39" s="108"/>
    </row>
    <row r="40" spans="2:18" x14ac:dyDescent="0.3">
      <c r="B40"/>
      <c r="C40"/>
      <c r="D40"/>
      <c r="E40"/>
      <c r="F40"/>
      <c r="G40" s="166"/>
      <c r="H40" s="166"/>
      <c r="I40" s="17"/>
      <c r="J40" s="81"/>
      <c r="K40"/>
      <c r="L40"/>
      <c r="M40"/>
      <c r="N40"/>
      <c r="O40"/>
      <c r="P40"/>
      <c r="Q40"/>
    </row>
    <row r="41" spans="2:18" x14ac:dyDescent="0.3">
      <c r="B41"/>
      <c r="C41"/>
      <c r="D41"/>
      <c r="E41"/>
      <c r="F41"/>
      <c r="G41" s="166"/>
      <c r="H41" s="166"/>
      <c r="I41" s="17"/>
      <c r="J41" s="81"/>
      <c r="K41"/>
      <c r="L41"/>
      <c r="M41"/>
      <c r="N41"/>
      <c r="O41"/>
      <c r="P41"/>
      <c r="Q41"/>
    </row>
    <row r="42" spans="2:18" x14ac:dyDescent="0.3">
      <c r="B42"/>
      <c r="C42"/>
      <c r="D42"/>
      <c r="E42"/>
      <c r="F42"/>
      <c r="G42" s="166"/>
      <c r="H42" s="1"/>
      <c r="I42" s="17"/>
      <c r="J42" s="81"/>
      <c r="K42"/>
      <c r="L42"/>
      <c r="M42"/>
      <c r="N42"/>
      <c r="O42"/>
      <c r="P42"/>
      <c r="Q42"/>
    </row>
    <row r="43" spans="2:18" x14ac:dyDescent="0.3">
      <c r="B43"/>
      <c r="C43"/>
      <c r="D43"/>
      <c r="E43"/>
      <c r="F43"/>
      <c r="G43" s="166"/>
      <c r="H43" s="1"/>
      <c r="I43" s="25"/>
      <c r="J43" s="81"/>
      <c r="K43"/>
      <c r="L43"/>
      <c r="M43"/>
      <c r="N43"/>
      <c r="O43"/>
      <c r="P43"/>
      <c r="Q43"/>
    </row>
    <row r="44" spans="2:18" x14ac:dyDescent="0.3">
      <c r="C44"/>
      <c r="D44"/>
      <c r="E44"/>
      <c r="F44"/>
      <c r="G44"/>
      <c r="H44"/>
      <c r="I44"/>
      <c r="J44" s="164"/>
      <c r="K44" s="17"/>
      <c r="L44" s="17"/>
      <c r="M44" s="164"/>
      <c r="N44"/>
      <c r="O44"/>
      <c r="P44"/>
      <c r="Q44"/>
    </row>
    <row r="45" spans="2:18" x14ac:dyDescent="0.3">
      <c r="C45"/>
      <c r="D45"/>
      <c r="E45"/>
      <c r="F45"/>
      <c r="G45"/>
      <c r="H45"/>
      <c r="I45"/>
      <c r="J45" s="164"/>
      <c r="K45" s="17"/>
      <c r="L45" s="17"/>
      <c r="M45" s="164"/>
      <c r="N45"/>
      <c r="O45"/>
      <c r="P45"/>
      <c r="Q45"/>
    </row>
    <row r="46" spans="2:18" x14ac:dyDescent="0.3">
      <c r="D46"/>
      <c r="E46"/>
      <c r="F46"/>
      <c r="G46"/>
      <c r="H46"/>
      <c r="I46"/>
      <c r="J46" s="17"/>
      <c r="K46" s="17"/>
      <c r="L46" s="17"/>
      <c r="M46" s="164"/>
      <c r="N46"/>
      <c r="O46"/>
      <c r="P46"/>
      <c r="Q46"/>
    </row>
    <row r="47" spans="2:18" x14ac:dyDescent="0.3">
      <c r="D47"/>
      <c r="E47"/>
      <c r="F47"/>
      <c r="G47"/>
      <c r="H47"/>
      <c r="I47"/>
      <c r="J47" s="164"/>
      <c r="K47" s="17"/>
      <c r="L47" s="17"/>
      <c r="M47" s="164"/>
      <c r="N47"/>
      <c r="O47"/>
      <c r="P47"/>
      <c r="Q47"/>
    </row>
    <row r="48" spans="2:18" x14ac:dyDescent="0.3">
      <c r="D48"/>
      <c r="E48"/>
      <c r="F48"/>
      <c r="G48"/>
      <c r="H48"/>
      <c r="I48"/>
      <c r="J48" s="164"/>
      <c r="K48" s="17"/>
      <c r="L48" s="17"/>
      <c r="M48" s="164"/>
      <c r="N48"/>
      <c r="O48"/>
      <c r="P48"/>
      <c r="Q48"/>
    </row>
    <row r="49" spans="4:17" x14ac:dyDescent="0.3">
      <c r="D49"/>
      <c r="E49"/>
      <c r="F49"/>
      <c r="G49"/>
      <c r="H49"/>
      <c r="I49"/>
      <c r="J49" s="164"/>
      <c r="K49" s="17"/>
      <c r="L49" s="17"/>
      <c r="M49" s="164"/>
      <c r="N49"/>
      <c r="O49"/>
      <c r="P49"/>
      <c r="Q49"/>
    </row>
    <row r="50" spans="4:17" x14ac:dyDescent="0.3">
      <c r="D50"/>
      <c r="E50"/>
      <c r="F50"/>
      <c r="G50"/>
      <c r="H50"/>
      <c r="I50"/>
      <c r="J50" s="164"/>
      <c r="K50" s="164"/>
      <c r="L50" s="17"/>
      <c r="M50" s="164"/>
      <c r="N50"/>
      <c r="O50"/>
      <c r="P50"/>
      <c r="Q50"/>
    </row>
    <row r="51" spans="4:17" x14ac:dyDescent="0.3">
      <c r="D51"/>
      <c r="E51"/>
      <c r="F51"/>
      <c r="G51"/>
      <c r="H51"/>
      <c r="I51"/>
      <c r="J51" s="164"/>
      <c r="K51" s="164"/>
      <c r="L51" s="17"/>
      <c r="M51" s="164"/>
      <c r="N51"/>
      <c r="O51"/>
      <c r="P51"/>
      <c r="Q51"/>
    </row>
    <row r="52" spans="4:17" x14ac:dyDescent="0.3">
      <c r="D52" s="112"/>
      <c r="E52" s="112"/>
      <c r="F52" s="17"/>
      <c r="G52" s="112"/>
      <c r="H52" s="112"/>
    </row>
    <row r="53" spans="4:17" x14ac:dyDescent="0.3">
      <c r="D53" s="112"/>
      <c r="E53" s="112"/>
      <c r="F53" s="17"/>
      <c r="G53" s="112"/>
      <c r="H53" s="112"/>
    </row>
    <row r="54" spans="4:17" x14ac:dyDescent="0.3">
      <c r="D54" s="112"/>
      <c r="E54" s="112"/>
      <c r="F54" s="17"/>
      <c r="G54" s="112"/>
      <c r="H54" s="112"/>
    </row>
  </sheetData>
  <mergeCells count="7">
    <mergeCell ref="G22:I22"/>
    <mergeCell ref="G23:I23"/>
    <mergeCell ref="A11:F11"/>
    <mergeCell ref="A5:O5"/>
    <mergeCell ref="A6:O6"/>
    <mergeCell ref="A7:O7"/>
    <mergeCell ref="A9:O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8C451322-D98B-4ACA-A2DF-5E06DAD86C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E17E8B-1115-44AA-A59C-0B8852C9E4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FA5F2-C8AA-472F-AC85-F9D2ECB763F1}">
  <ds:schemaRefs>
    <ds:schemaRef ds:uri="http://purl.org/dc/terms/"/>
    <ds:schemaRef ds:uri="6f1d2a94-10b3-4315-8e65-29e99209519a"/>
    <ds:schemaRef ds:uri="a5c77184-e583-448a-9313-172398034e82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Nomina Fijo</vt:lpstr>
      <vt:lpstr>Nomina Temporal  </vt:lpstr>
      <vt:lpstr>Nomina Militar</vt:lpstr>
      <vt:lpstr>Nomina Periodo Probatorio </vt:lpstr>
      <vt:lpstr>'Nomina Fijo'!Área_de_impresión</vt:lpstr>
      <vt:lpstr>'Nomina Periodo Probatorio '!Área_de_impresión</vt:lpstr>
      <vt:lpstr>'Nomina Temporal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Julio Yens</cp:lastModifiedBy>
  <cp:lastPrinted>2023-05-10T15:18:03Z</cp:lastPrinted>
  <dcterms:created xsi:type="dcterms:W3CDTF">2019-04-22T15:13:08Z</dcterms:created>
  <dcterms:modified xsi:type="dcterms:W3CDTF">2023-05-16T16:01:31Z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