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svr-file-01\Administrativo\2023\Contabilidad\Diciembre 2023\Cierre fiscal 2023\SISANOC\"/>
    </mc:Choice>
  </mc:AlternateContent>
  <xr:revisionPtr revIDLastSave="0" documentId="13_ncr:1_{088ADFBD-FB69-4BBA-BDE9-0A85D79C7C13}" xr6:coauthVersionLast="36" xr6:coauthVersionMax="36" xr10:uidLastSave="{00000000-0000-0000-0000-000000000000}"/>
  <bookViews>
    <workbookView xWindow="0" yWindow="0" windowWidth="13905" windowHeight="7470" firstSheet="3" activeTab="4" xr2:uid="{7B8A4C17-9DC9-4099-B224-C80FB5FE0D0B}"/>
  </bookViews>
  <sheets>
    <sheet name="Notas 1-6 Historia" sheetId="1" r:id="rId1"/>
    <sheet name="Notas del 7-18" sheetId="2" r:id="rId2"/>
    <sheet name="Inventario Materiales" sheetId="3" r:id="rId3"/>
    <sheet name="Activos Fijos" sheetId="4" r:id="rId4"/>
    <sheet name="Ejecucion Presupuestaria" sheetId="5" r:id="rId5"/>
  </sheets>
  <externalReferences>
    <externalReference r:id="rId6"/>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1" i="5" l="1"/>
  <c r="Q60" i="5"/>
  <c r="Q59" i="5"/>
  <c r="Q58" i="5"/>
  <c r="Q57" i="5"/>
  <c r="Q56" i="5"/>
  <c r="Q55" i="5"/>
  <c r="Q54" i="5"/>
  <c r="Q53" i="5"/>
  <c r="P52" i="5"/>
  <c r="O52" i="5"/>
  <c r="N52" i="5"/>
  <c r="M52" i="5"/>
  <c r="L52" i="5"/>
  <c r="K52" i="5"/>
  <c r="J52" i="5"/>
  <c r="I52" i="5"/>
  <c r="H52" i="5"/>
  <c r="G52" i="5"/>
  <c r="F52" i="5"/>
  <c r="E52" i="5"/>
  <c r="Q52" i="5" s="1"/>
  <c r="D52" i="5"/>
  <c r="C52" i="5"/>
  <c r="D46" i="5"/>
  <c r="D45" i="5" s="1"/>
  <c r="C46" i="5"/>
  <c r="M45" i="5"/>
  <c r="L45" i="5"/>
  <c r="K45" i="5"/>
  <c r="J45" i="5"/>
  <c r="I45" i="5"/>
  <c r="H45" i="5"/>
  <c r="G45" i="5"/>
  <c r="F45" i="5"/>
  <c r="E45" i="5"/>
  <c r="C45" i="5"/>
  <c r="Q44" i="5"/>
  <c r="Q43" i="5"/>
  <c r="Q42" i="5"/>
  <c r="Q41" i="5"/>
  <c r="Q40" i="5"/>
  <c r="Q39" i="5"/>
  <c r="Q38" i="5"/>
  <c r="M37" i="5"/>
  <c r="L37" i="5"/>
  <c r="K37" i="5"/>
  <c r="J37" i="5"/>
  <c r="I37" i="5"/>
  <c r="H37" i="5"/>
  <c r="G37" i="5"/>
  <c r="F37" i="5"/>
  <c r="Q37" i="5" s="1"/>
  <c r="E37" i="5"/>
  <c r="D37" i="5"/>
  <c r="C37" i="5"/>
  <c r="Q36" i="5"/>
  <c r="Q35" i="5"/>
  <c r="Q34" i="5"/>
  <c r="Q33" i="5"/>
  <c r="Q32" i="5"/>
  <c r="Q31" i="5"/>
  <c r="Q30" i="5"/>
  <c r="Q29" i="5"/>
  <c r="Q28" i="5"/>
  <c r="P27" i="5"/>
  <c r="O27" i="5"/>
  <c r="N27" i="5"/>
  <c r="M27" i="5"/>
  <c r="L27" i="5"/>
  <c r="K27" i="5"/>
  <c r="J27" i="5"/>
  <c r="I27" i="5"/>
  <c r="H27" i="5"/>
  <c r="G27" i="5"/>
  <c r="F27" i="5"/>
  <c r="E27" i="5"/>
  <c r="Q27" i="5" s="1"/>
  <c r="D27" i="5"/>
  <c r="C27" i="5"/>
  <c r="Q26" i="5"/>
  <c r="Q25" i="5"/>
  <c r="Q24" i="5"/>
  <c r="Q23" i="5"/>
  <c r="Q22" i="5"/>
  <c r="Q21" i="5"/>
  <c r="Q20" i="5"/>
  <c r="Q19" i="5"/>
  <c r="Q18" i="5"/>
  <c r="P17" i="5"/>
  <c r="O17" i="5"/>
  <c r="N17" i="5"/>
  <c r="M17" i="5"/>
  <c r="L17" i="5"/>
  <c r="K17" i="5"/>
  <c r="J17" i="5"/>
  <c r="I17" i="5"/>
  <c r="H17" i="5"/>
  <c r="G17" i="5"/>
  <c r="F17" i="5"/>
  <c r="E17" i="5"/>
  <c r="Q17" i="5" s="1"/>
  <c r="D17" i="5"/>
  <c r="C17" i="5"/>
  <c r="Q16" i="5"/>
  <c r="Q15" i="5"/>
  <c r="Q14" i="5"/>
  <c r="Q13" i="5"/>
  <c r="Q12" i="5"/>
  <c r="P11" i="5"/>
  <c r="P10" i="5" s="1"/>
  <c r="P7" i="5" s="1"/>
  <c r="O11" i="5"/>
  <c r="O10" i="5" s="1"/>
  <c r="O7" i="5" s="1"/>
  <c r="N11" i="5"/>
  <c r="N10" i="5" s="1"/>
  <c r="N7" i="5" s="1"/>
  <c r="M11" i="5"/>
  <c r="M83" i="5" s="1"/>
  <c r="L11" i="5"/>
  <c r="L10" i="5" s="1"/>
  <c r="L7" i="5" s="1"/>
  <c r="K11" i="5"/>
  <c r="K10" i="5" s="1"/>
  <c r="K7" i="5" s="1"/>
  <c r="J11" i="5"/>
  <c r="J83" i="5" s="1"/>
  <c r="I11" i="5"/>
  <c r="I83" i="5" s="1"/>
  <c r="H11" i="5"/>
  <c r="H10" i="5" s="1"/>
  <c r="H7" i="5" s="1"/>
  <c r="G11" i="5"/>
  <c r="G10" i="5" s="1"/>
  <c r="F11" i="5"/>
  <c r="F10" i="5" s="1"/>
  <c r="F7" i="5" s="1"/>
  <c r="E11" i="5"/>
  <c r="E83" i="5" s="1"/>
  <c r="D11" i="5"/>
  <c r="D10" i="5" s="1"/>
  <c r="C11" i="5"/>
  <c r="C10" i="5" s="1"/>
  <c r="M10" i="5"/>
  <c r="M7" i="5" s="1"/>
  <c r="I10" i="5"/>
  <c r="I7" i="5" s="1"/>
  <c r="E10" i="5"/>
  <c r="E7" i="5" s="1"/>
  <c r="F83" i="5" l="1"/>
  <c r="C83" i="5"/>
  <c r="G83" i="5"/>
  <c r="K83" i="5"/>
  <c r="O83" i="5"/>
  <c r="N83" i="5"/>
  <c r="J10" i="5"/>
  <c r="J7" i="5" s="1"/>
  <c r="D83" i="5"/>
  <c r="H83" i="5"/>
  <c r="L83" i="5"/>
  <c r="P83" i="5"/>
  <c r="Q11" i="5"/>
  <c r="Q83" i="5" s="1"/>
  <c r="Q10" i="5" l="1"/>
  <c r="I300" i="3" l="1"/>
  <c r="P271" i="3"/>
  <c r="P270" i="3"/>
  <c r="Q269" i="3"/>
  <c r="P269" i="3"/>
  <c r="L269" i="3"/>
  <c r="M269" i="3" s="1"/>
  <c r="N269" i="3" s="1"/>
  <c r="P268" i="3"/>
  <c r="M268" i="3"/>
  <c r="N268" i="3" s="1"/>
  <c r="L268" i="3"/>
  <c r="P267" i="3"/>
  <c r="L267" i="3"/>
  <c r="M267" i="3" s="1"/>
  <c r="M266" i="3"/>
  <c r="L266" i="3"/>
  <c r="J266" i="3"/>
  <c r="P265" i="3"/>
  <c r="M265" i="3"/>
  <c r="N265" i="3" s="1"/>
  <c r="L265" i="3"/>
  <c r="P264" i="3"/>
  <c r="L264" i="3"/>
  <c r="M264" i="3" s="1"/>
  <c r="Q264" i="3" s="1"/>
  <c r="M263" i="3"/>
  <c r="L263" i="3"/>
  <c r="J263" i="3"/>
  <c r="N263" i="3" s="1"/>
  <c r="P262" i="3"/>
  <c r="O262" i="3"/>
  <c r="L262" i="3"/>
  <c r="M262" i="3" s="1"/>
  <c r="N262" i="3" s="1"/>
  <c r="P261" i="3"/>
  <c r="L261" i="3"/>
  <c r="M261" i="3" s="1"/>
  <c r="N261" i="3" s="1"/>
  <c r="P260" i="3"/>
  <c r="L260" i="3"/>
  <c r="M260" i="3" s="1"/>
  <c r="P256" i="3"/>
  <c r="Q256" i="3" s="1"/>
  <c r="M256" i="3"/>
  <c r="N256" i="3" s="1"/>
  <c r="L256" i="3"/>
  <c r="Q255" i="3"/>
  <c r="O255" i="3"/>
  <c r="P255" i="3" s="1"/>
  <c r="M255" i="3"/>
  <c r="N255" i="3" s="1"/>
  <c r="P254" i="3"/>
  <c r="Q254" i="3" s="1"/>
  <c r="N254" i="3"/>
  <c r="K254" i="3"/>
  <c r="P253" i="3"/>
  <c r="Q253" i="3" s="1"/>
  <c r="N253" i="3"/>
  <c r="K253" i="3"/>
  <c r="P252" i="3"/>
  <c r="Q252" i="3" s="1"/>
  <c r="N252" i="3"/>
  <c r="K252" i="3"/>
  <c r="P251" i="3"/>
  <c r="Q251" i="3" s="1"/>
  <c r="O251" i="3"/>
  <c r="N251" i="3"/>
  <c r="M251" i="3"/>
  <c r="O250" i="3"/>
  <c r="P250" i="3" s="1"/>
  <c r="Q250" i="3" s="1"/>
  <c r="N250" i="3"/>
  <c r="K250" i="3"/>
  <c r="P249" i="3"/>
  <c r="Q249" i="3" s="1"/>
  <c r="M249" i="3"/>
  <c r="N249" i="3" s="1"/>
  <c r="P248" i="3"/>
  <c r="Q248" i="3" s="1"/>
  <c r="N248" i="3"/>
  <c r="K248" i="3"/>
  <c r="P247" i="3"/>
  <c r="Q247" i="3" s="1"/>
  <c r="O247" i="3"/>
  <c r="N247" i="3"/>
  <c r="K247" i="3"/>
  <c r="Q246" i="3"/>
  <c r="O246" i="3"/>
  <c r="P246" i="3" s="1"/>
  <c r="N246" i="3"/>
  <c r="K246" i="3"/>
  <c r="P245" i="3"/>
  <c r="Q245" i="3" s="1"/>
  <c r="M245" i="3"/>
  <c r="N245" i="3" s="1"/>
  <c r="L245" i="3"/>
  <c r="P244" i="3"/>
  <c r="N244" i="3"/>
  <c r="L244" i="3"/>
  <c r="M244" i="3" s="1"/>
  <c r="Q244" i="3" s="1"/>
  <c r="P243" i="3"/>
  <c r="Q243" i="3" s="1"/>
  <c r="O243" i="3"/>
  <c r="N243" i="3"/>
  <c r="K243" i="3"/>
  <c r="O242" i="3"/>
  <c r="P242" i="3" s="1"/>
  <c r="M242" i="3"/>
  <c r="L242" i="3"/>
  <c r="O241" i="3"/>
  <c r="P241" i="3" s="1"/>
  <c r="Q241" i="3" s="1"/>
  <c r="N241" i="3"/>
  <c r="L241" i="3"/>
  <c r="K241" i="3"/>
  <c r="O240" i="3"/>
  <c r="P240" i="3" s="1"/>
  <c r="M240" i="3"/>
  <c r="L240" i="3"/>
  <c r="O239" i="3"/>
  <c r="P239" i="3" s="1"/>
  <c r="Q239" i="3" s="1"/>
  <c r="N239" i="3"/>
  <c r="L239" i="3"/>
  <c r="K239" i="3"/>
  <c r="Q238" i="3"/>
  <c r="P238" i="3"/>
  <c r="N238" i="3"/>
  <c r="M238" i="3"/>
  <c r="P237" i="3"/>
  <c r="M237" i="3"/>
  <c r="N237" i="3" s="1"/>
  <c r="L237" i="3"/>
  <c r="P236" i="3"/>
  <c r="Q236" i="3" s="1"/>
  <c r="S236" i="3" s="1"/>
  <c r="M236" i="3"/>
  <c r="N236" i="3" s="1"/>
  <c r="L236" i="3"/>
  <c r="P235" i="3"/>
  <c r="Q235" i="3" s="1"/>
  <c r="S235" i="3" s="1"/>
  <c r="K235" i="3"/>
  <c r="L235" i="3" s="1"/>
  <c r="M235" i="3" s="1"/>
  <c r="N235" i="3" s="1"/>
  <c r="P234" i="3"/>
  <c r="Q234" i="3" s="1"/>
  <c r="M234" i="3"/>
  <c r="N234" i="3" s="1"/>
  <c r="L234" i="3"/>
  <c r="O233" i="3"/>
  <c r="P233" i="3" s="1"/>
  <c r="M233" i="3"/>
  <c r="N233" i="3" s="1"/>
  <c r="L233" i="3"/>
  <c r="P232" i="3"/>
  <c r="L232" i="3"/>
  <c r="M232" i="3" s="1"/>
  <c r="P231" i="3"/>
  <c r="O231" i="3"/>
  <c r="L231" i="3"/>
  <c r="M231" i="3" s="1"/>
  <c r="N231" i="3" s="1"/>
  <c r="P230" i="3"/>
  <c r="Q230" i="3" s="1"/>
  <c r="M230" i="3"/>
  <c r="N230" i="3" s="1"/>
  <c r="L230" i="3"/>
  <c r="O229" i="3"/>
  <c r="M229" i="3"/>
  <c r="L229" i="3"/>
  <c r="J229" i="3"/>
  <c r="P228" i="3"/>
  <c r="M228" i="3"/>
  <c r="N228" i="3" s="1"/>
  <c r="L228" i="3"/>
  <c r="P227" i="3"/>
  <c r="L227" i="3"/>
  <c r="M227" i="3" s="1"/>
  <c r="L226" i="3"/>
  <c r="M226" i="3" s="1"/>
  <c r="N226" i="3" s="1"/>
  <c r="J226" i="3"/>
  <c r="P226" i="3" s="1"/>
  <c r="Q226" i="3" s="1"/>
  <c r="S226" i="3" s="1"/>
  <c r="P225" i="3"/>
  <c r="Q225" i="3" s="1"/>
  <c r="S225" i="3" s="1"/>
  <c r="M225" i="3"/>
  <c r="N225" i="3" s="1"/>
  <c r="L225" i="3"/>
  <c r="P224" i="3"/>
  <c r="Q224" i="3" s="1"/>
  <c r="S224" i="3" s="1"/>
  <c r="M224" i="3"/>
  <c r="N224" i="3" s="1"/>
  <c r="L224" i="3"/>
  <c r="O223" i="3"/>
  <c r="P223" i="3" s="1"/>
  <c r="Q223" i="3" s="1"/>
  <c r="M223" i="3"/>
  <c r="N223" i="3" s="1"/>
  <c r="L223" i="3"/>
  <c r="P222" i="3"/>
  <c r="L222" i="3"/>
  <c r="M222" i="3" s="1"/>
  <c r="N222" i="3" s="1"/>
  <c r="P221" i="3"/>
  <c r="O221" i="3"/>
  <c r="L221" i="3"/>
  <c r="M221" i="3" s="1"/>
  <c r="N221" i="3" s="1"/>
  <c r="J221" i="3"/>
  <c r="P217" i="3"/>
  <c r="M217" i="3"/>
  <c r="N217" i="3" s="1"/>
  <c r="L217" i="3"/>
  <c r="P216" i="3"/>
  <c r="M216" i="3"/>
  <c r="N216" i="3" s="1"/>
  <c r="L216" i="3"/>
  <c r="P215" i="3"/>
  <c r="M215" i="3"/>
  <c r="N215" i="3" s="1"/>
  <c r="L215" i="3"/>
  <c r="P214" i="3"/>
  <c r="M214" i="3"/>
  <c r="N214" i="3" s="1"/>
  <c r="L214" i="3"/>
  <c r="P213" i="3"/>
  <c r="M213" i="3"/>
  <c r="N213" i="3" s="1"/>
  <c r="P212" i="3"/>
  <c r="O212" i="3"/>
  <c r="L212" i="3"/>
  <c r="M212" i="3" s="1"/>
  <c r="N212" i="3" s="1"/>
  <c r="P211" i="3"/>
  <c r="Q211" i="3" s="1"/>
  <c r="N211" i="3"/>
  <c r="K211" i="3"/>
  <c r="P210" i="3"/>
  <c r="Q210" i="3" s="1"/>
  <c r="N210" i="3"/>
  <c r="K210" i="3"/>
  <c r="O209" i="3"/>
  <c r="K209" i="3"/>
  <c r="J209" i="3"/>
  <c r="P208" i="3"/>
  <c r="Q208" i="3" s="1"/>
  <c r="N208" i="3"/>
  <c r="K208" i="3"/>
  <c r="P207" i="3"/>
  <c r="Q207" i="3" s="1"/>
  <c r="K207" i="3"/>
  <c r="J207" i="3"/>
  <c r="N207" i="3" s="1"/>
  <c r="L206" i="3"/>
  <c r="M206" i="3" s="1"/>
  <c r="N206" i="3" s="1"/>
  <c r="J206" i="3"/>
  <c r="P206" i="3" s="1"/>
  <c r="Q205" i="3"/>
  <c r="P205" i="3"/>
  <c r="N205" i="3"/>
  <c r="K205" i="3"/>
  <c r="Q204" i="3"/>
  <c r="O204" i="3"/>
  <c r="K204" i="3"/>
  <c r="J204" i="3"/>
  <c r="P204" i="3" s="1"/>
  <c r="O203" i="3"/>
  <c r="N203" i="3"/>
  <c r="K203" i="3"/>
  <c r="J203" i="3"/>
  <c r="P202" i="3"/>
  <c r="M202" i="3"/>
  <c r="N202" i="3" s="1"/>
  <c r="L202" i="3"/>
  <c r="Q201" i="3"/>
  <c r="P201" i="3"/>
  <c r="N201" i="3"/>
  <c r="K201" i="3"/>
  <c r="O200" i="3"/>
  <c r="K200" i="3"/>
  <c r="J200" i="3"/>
  <c r="P200" i="3" s="1"/>
  <c r="Q200" i="3" s="1"/>
  <c r="Q199" i="3"/>
  <c r="P199" i="3"/>
  <c r="N199" i="3"/>
  <c r="K199" i="3"/>
  <c r="Q198" i="3"/>
  <c r="P198" i="3"/>
  <c r="N198" i="3"/>
  <c r="K198" i="3"/>
  <c r="Q197" i="3"/>
  <c r="P197" i="3"/>
  <c r="N197" i="3"/>
  <c r="K197" i="3"/>
  <c r="Q196" i="3"/>
  <c r="P196" i="3"/>
  <c r="N196" i="3"/>
  <c r="K196" i="3"/>
  <c r="L196" i="3" s="1"/>
  <c r="Q195" i="3"/>
  <c r="S195" i="3" s="1"/>
  <c r="P195" i="3"/>
  <c r="L195" i="3"/>
  <c r="M195" i="3" s="1"/>
  <c r="N195" i="3" s="1"/>
  <c r="P194" i="3"/>
  <c r="Q194" i="3" s="1"/>
  <c r="M194" i="3"/>
  <c r="N194" i="3" s="1"/>
  <c r="L194" i="3"/>
  <c r="O193" i="3"/>
  <c r="M193" i="3"/>
  <c r="L193" i="3"/>
  <c r="J193" i="3"/>
  <c r="P192" i="3"/>
  <c r="L192" i="3"/>
  <c r="M192" i="3" s="1"/>
  <c r="P191" i="3"/>
  <c r="L191" i="3"/>
  <c r="M191" i="3" s="1"/>
  <c r="P190" i="3"/>
  <c r="M190" i="3"/>
  <c r="N190" i="3" s="1"/>
  <c r="L190" i="3"/>
  <c r="P189" i="3"/>
  <c r="M189" i="3"/>
  <c r="N189" i="3" s="1"/>
  <c r="L189" i="3"/>
  <c r="P188" i="3"/>
  <c r="M188" i="3"/>
  <c r="N188" i="3" s="1"/>
  <c r="L188" i="3"/>
  <c r="P187" i="3"/>
  <c r="M187" i="3"/>
  <c r="N187" i="3" s="1"/>
  <c r="L187" i="3"/>
  <c r="P186" i="3"/>
  <c r="M186" i="3"/>
  <c r="N186" i="3" s="1"/>
  <c r="L186" i="3"/>
  <c r="O185" i="3"/>
  <c r="M185" i="3"/>
  <c r="L185" i="3"/>
  <c r="J185" i="3"/>
  <c r="P184" i="3"/>
  <c r="M184" i="3"/>
  <c r="N184" i="3" s="1"/>
  <c r="L184" i="3"/>
  <c r="O183" i="3"/>
  <c r="M183" i="3"/>
  <c r="L183" i="3"/>
  <c r="J183" i="3"/>
  <c r="P182" i="3"/>
  <c r="L182" i="3"/>
  <c r="M182" i="3" s="1"/>
  <c r="P181" i="3"/>
  <c r="L181" i="3"/>
  <c r="M181" i="3" s="1"/>
  <c r="P180" i="3"/>
  <c r="M180" i="3"/>
  <c r="N180" i="3" s="1"/>
  <c r="L180" i="3"/>
  <c r="Q179" i="3"/>
  <c r="P179" i="3"/>
  <c r="N179" i="3"/>
  <c r="L179" i="3"/>
  <c r="M179" i="3" s="1"/>
  <c r="P178" i="3"/>
  <c r="Q178" i="3" s="1"/>
  <c r="M178" i="3"/>
  <c r="N178" i="3" s="1"/>
  <c r="L178" i="3"/>
  <c r="P177" i="3"/>
  <c r="L177" i="3"/>
  <c r="M177" i="3" s="1"/>
  <c r="P176" i="3"/>
  <c r="M176" i="3"/>
  <c r="N176" i="3" s="1"/>
  <c r="L176" i="3"/>
  <c r="Q175" i="3"/>
  <c r="P175" i="3"/>
  <c r="N175" i="3"/>
  <c r="L175" i="3"/>
  <c r="M175" i="3" s="1"/>
  <c r="P171" i="3"/>
  <c r="O171" i="3"/>
  <c r="L171" i="3"/>
  <c r="M171" i="3" s="1"/>
  <c r="N171" i="3" s="1"/>
  <c r="M170" i="3"/>
  <c r="L170" i="3"/>
  <c r="S169" i="3"/>
  <c r="P169" i="3"/>
  <c r="Q169" i="3" s="1"/>
  <c r="O169" i="3"/>
  <c r="N169" i="3"/>
  <c r="M169" i="3"/>
  <c r="L169" i="3"/>
  <c r="Q168" i="3"/>
  <c r="S168" i="3" s="1"/>
  <c r="P168" i="3"/>
  <c r="N168" i="3"/>
  <c r="M168" i="3"/>
  <c r="L168" i="3"/>
  <c r="Q167" i="3"/>
  <c r="S167" i="3" s="1"/>
  <c r="P167" i="3"/>
  <c r="N167" i="3"/>
  <c r="M167" i="3"/>
  <c r="L167" i="3"/>
  <c r="Q166" i="3"/>
  <c r="S166" i="3" s="1"/>
  <c r="O166" i="3"/>
  <c r="P166" i="3" s="1"/>
  <c r="M166" i="3"/>
  <c r="N166" i="3" s="1"/>
  <c r="L166" i="3"/>
  <c r="S165" i="3"/>
  <c r="P165" i="3"/>
  <c r="Q165" i="3" s="1"/>
  <c r="O165" i="3"/>
  <c r="N165" i="3"/>
  <c r="M165" i="3"/>
  <c r="L165" i="3"/>
  <c r="O164" i="3"/>
  <c r="P164" i="3" s="1"/>
  <c r="M164" i="3"/>
  <c r="L164" i="3"/>
  <c r="S163" i="3"/>
  <c r="P163" i="3"/>
  <c r="Q163" i="3" s="1"/>
  <c r="O163" i="3"/>
  <c r="N163" i="3"/>
  <c r="M163" i="3"/>
  <c r="L163" i="3"/>
  <c r="Q162" i="3"/>
  <c r="S162" i="3" s="1"/>
  <c r="P162" i="3"/>
  <c r="N162" i="3"/>
  <c r="L162" i="3"/>
  <c r="M162" i="3" s="1"/>
  <c r="Q161" i="3"/>
  <c r="S161" i="3" s="1"/>
  <c r="P161" i="3"/>
  <c r="N161" i="3"/>
  <c r="L161" i="3"/>
  <c r="M161" i="3" s="1"/>
  <c r="Q160" i="3"/>
  <c r="S160" i="3" s="1"/>
  <c r="P160" i="3"/>
  <c r="N160" i="3"/>
  <c r="L160" i="3"/>
  <c r="M160" i="3" s="1"/>
  <c r="Q159" i="3"/>
  <c r="S159" i="3" s="1"/>
  <c r="P159" i="3"/>
  <c r="N159" i="3"/>
  <c r="L159" i="3"/>
  <c r="M159" i="3" s="1"/>
  <c r="Q158" i="3"/>
  <c r="S158" i="3" s="1"/>
  <c r="P158" i="3"/>
  <c r="N158" i="3"/>
  <c r="L158" i="3"/>
  <c r="M158" i="3" s="1"/>
  <c r="P157" i="3"/>
  <c r="Q157" i="3" s="1"/>
  <c r="O157" i="3"/>
  <c r="N157" i="3"/>
  <c r="L157" i="3"/>
  <c r="M157" i="3" s="1"/>
  <c r="Q156" i="3"/>
  <c r="S156" i="3" s="1"/>
  <c r="O156" i="3"/>
  <c r="P156" i="3" s="1"/>
  <c r="M156" i="3"/>
  <c r="N156" i="3" s="1"/>
  <c r="K156" i="3"/>
  <c r="P155" i="3"/>
  <c r="M155" i="3"/>
  <c r="N155" i="3" s="1"/>
  <c r="L155" i="3"/>
  <c r="P154" i="3"/>
  <c r="L154" i="3"/>
  <c r="M154" i="3" s="1"/>
  <c r="N154" i="3" s="1"/>
  <c r="O153" i="3"/>
  <c r="P153" i="3" s="1"/>
  <c r="Q153" i="3" s="1"/>
  <c r="S153" i="3" s="1"/>
  <c r="M153" i="3"/>
  <c r="N153" i="3" s="1"/>
  <c r="L153" i="3"/>
  <c r="P152" i="3"/>
  <c r="Q152" i="3" s="1"/>
  <c r="S152" i="3" s="1"/>
  <c r="M152" i="3"/>
  <c r="N152" i="3" s="1"/>
  <c r="L152" i="3"/>
  <c r="O151" i="3"/>
  <c r="P151" i="3" s="1"/>
  <c r="Q151" i="3" s="1"/>
  <c r="M151" i="3"/>
  <c r="N151" i="3" s="1"/>
  <c r="L151" i="3"/>
  <c r="P150" i="3"/>
  <c r="Q150" i="3" s="1"/>
  <c r="S150" i="3" s="1"/>
  <c r="O150" i="3"/>
  <c r="L150" i="3"/>
  <c r="M150" i="3" s="1"/>
  <c r="N150" i="3" s="1"/>
  <c r="D150" i="3"/>
  <c r="O149" i="3"/>
  <c r="M149" i="3"/>
  <c r="L149" i="3"/>
  <c r="J149" i="3"/>
  <c r="O148" i="3"/>
  <c r="P148" i="3" s="1"/>
  <c r="Q148" i="3" s="1"/>
  <c r="S148" i="3" s="1"/>
  <c r="M148" i="3"/>
  <c r="N148" i="3" s="1"/>
  <c r="L148" i="3"/>
  <c r="O147" i="3"/>
  <c r="P147" i="3" s="1"/>
  <c r="Q147" i="3" s="1"/>
  <c r="M147" i="3"/>
  <c r="N147" i="3" s="1"/>
  <c r="L147" i="3"/>
  <c r="P146" i="3"/>
  <c r="Q146" i="3" s="1"/>
  <c r="S146" i="3" s="1"/>
  <c r="O146" i="3"/>
  <c r="L146" i="3"/>
  <c r="M146" i="3" s="1"/>
  <c r="N146" i="3" s="1"/>
  <c r="O145" i="3"/>
  <c r="P145" i="3" s="1"/>
  <c r="Q145" i="3" s="1"/>
  <c r="S145" i="3" s="1"/>
  <c r="M145" i="3"/>
  <c r="N145" i="3" s="1"/>
  <c r="K145" i="3"/>
  <c r="O144" i="3"/>
  <c r="P144" i="3" s="1"/>
  <c r="Q144" i="3" s="1"/>
  <c r="M144" i="3"/>
  <c r="N144" i="3" s="1"/>
  <c r="L144" i="3"/>
  <c r="P143" i="3"/>
  <c r="Q143" i="3" s="1"/>
  <c r="S143" i="3" s="1"/>
  <c r="O143" i="3"/>
  <c r="L143" i="3"/>
  <c r="M143" i="3" s="1"/>
  <c r="N143" i="3" s="1"/>
  <c r="Q142" i="3"/>
  <c r="S142" i="3" s="1"/>
  <c r="P142" i="3"/>
  <c r="K142" i="3"/>
  <c r="M142" i="3" s="1"/>
  <c r="N142" i="3" s="1"/>
  <c r="P141" i="3"/>
  <c r="Q141" i="3" s="1"/>
  <c r="M141" i="3"/>
  <c r="N141" i="3" s="1"/>
  <c r="L141" i="3"/>
  <c r="P140" i="3"/>
  <c r="Q140" i="3" s="1"/>
  <c r="S140" i="3" s="1"/>
  <c r="O140" i="3"/>
  <c r="L140" i="3"/>
  <c r="M140" i="3" s="1"/>
  <c r="N140" i="3" s="1"/>
  <c r="Q139" i="3"/>
  <c r="S139" i="3" s="1"/>
  <c r="P139" i="3"/>
  <c r="L139" i="3"/>
  <c r="M139" i="3" s="1"/>
  <c r="N139" i="3" s="1"/>
  <c r="Q138" i="3"/>
  <c r="S138" i="3" s="1"/>
  <c r="O138" i="3"/>
  <c r="P138" i="3" s="1"/>
  <c r="M138" i="3"/>
  <c r="N138" i="3" s="1"/>
  <c r="L138" i="3"/>
  <c r="P137" i="3"/>
  <c r="O137" i="3"/>
  <c r="L137" i="3"/>
  <c r="M137" i="3" s="1"/>
  <c r="N137" i="3" s="1"/>
  <c r="P136" i="3"/>
  <c r="O136" i="3"/>
  <c r="L136" i="3"/>
  <c r="M136" i="3" s="1"/>
  <c r="N136" i="3" s="1"/>
  <c r="P135" i="3"/>
  <c r="O135" i="3"/>
  <c r="L135" i="3"/>
  <c r="M135" i="3" s="1"/>
  <c r="N135" i="3" s="1"/>
  <c r="P134" i="3"/>
  <c r="O134" i="3"/>
  <c r="L134" i="3"/>
  <c r="M134" i="3" s="1"/>
  <c r="N134" i="3" s="1"/>
  <c r="P133" i="3"/>
  <c r="O133" i="3"/>
  <c r="L133" i="3"/>
  <c r="M133" i="3" s="1"/>
  <c r="N133" i="3" s="1"/>
  <c r="D133" i="3"/>
  <c r="O132" i="3"/>
  <c r="P132" i="3" s="1"/>
  <c r="Q132" i="3" s="1"/>
  <c r="M132" i="3"/>
  <c r="N132" i="3" s="1"/>
  <c r="L132" i="3"/>
  <c r="P131" i="3"/>
  <c r="M131" i="3"/>
  <c r="N131" i="3" s="1"/>
  <c r="L131" i="3"/>
  <c r="P130" i="3"/>
  <c r="M130" i="3"/>
  <c r="N130" i="3" s="1"/>
  <c r="L130" i="3"/>
  <c r="P129" i="3"/>
  <c r="M129" i="3"/>
  <c r="N129" i="3" s="1"/>
  <c r="L129" i="3"/>
  <c r="P128" i="3"/>
  <c r="M128" i="3"/>
  <c r="N128" i="3" s="1"/>
  <c r="L128" i="3"/>
  <c r="P127" i="3"/>
  <c r="Q127" i="3" s="1"/>
  <c r="S127" i="3" s="1"/>
  <c r="O127" i="3"/>
  <c r="K127" i="3"/>
  <c r="M127" i="3" s="1"/>
  <c r="N127" i="3" s="1"/>
  <c r="P126" i="3"/>
  <c r="Q126" i="3" s="1"/>
  <c r="O126" i="3"/>
  <c r="L126" i="3"/>
  <c r="M126" i="3" s="1"/>
  <c r="N126" i="3" s="1"/>
  <c r="O125" i="3"/>
  <c r="P125" i="3" s="1"/>
  <c r="Q125" i="3" s="1"/>
  <c r="S125" i="3" s="1"/>
  <c r="M125" i="3"/>
  <c r="N125" i="3" s="1"/>
  <c r="L125" i="3"/>
  <c r="Q124" i="3"/>
  <c r="P124" i="3"/>
  <c r="L124" i="3"/>
  <c r="M124" i="3" s="1"/>
  <c r="N124" i="3" s="1"/>
  <c r="O123" i="3"/>
  <c r="P123" i="3" s="1"/>
  <c r="Q123" i="3" s="1"/>
  <c r="S123" i="3" s="1"/>
  <c r="M123" i="3"/>
  <c r="N123" i="3" s="1"/>
  <c r="L123" i="3"/>
  <c r="O122" i="3"/>
  <c r="P122" i="3" s="1"/>
  <c r="Q122" i="3" s="1"/>
  <c r="M122" i="3"/>
  <c r="N122" i="3" s="1"/>
  <c r="L122" i="3"/>
  <c r="P121" i="3"/>
  <c r="Q121" i="3" s="1"/>
  <c r="S121" i="3" s="1"/>
  <c r="O121" i="3"/>
  <c r="L121" i="3"/>
  <c r="M121" i="3" s="1"/>
  <c r="N121" i="3" s="1"/>
  <c r="Q120" i="3"/>
  <c r="S120" i="3" s="1"/>
  <c r="O120" i="3"/>
  <c r="P120" i="3" s="1"/>
  <c r="M120" i="3"/>
  <c r="N120" i="3" s="1"/>
  <c r="K120" i="3"/>
  <c r="O119" i="3"/>
  <c r="M119" i="3"/>
  <c r="L119" i="3"/>
  <c r="J119" i="3"/>
  <c r="O118" i="3"/>
  <c r="P118" i="3" s="1"/>
  <c r="Q118" i="3" s="1"/>
  <c r="S118" i="3" s="1"/>
  <c r="M118" i="3"/>
  <c r="N118" i="3" s="1"/>
  <c r="L118" i="3"/>
  <c r="P117" i="3"/>
  <c r="Q117" i="3" s="1"/>
  <c r="S117" i="3" s="1"/>
  <c r="O117" i="3"/>
  <c r="N117" i="3"/>
  <c r="L117" i="3"/>
  <c r="M117" i="3" s="1"/>
  <c r="Q116" i="3"/>
  <c r="S116" i="3" s="1"/>
  <c r="P116" i="3"/>
  <c r="N116" i="3"/>
  <c r="L116" i="3"/>
  <c r="M116" i="3" s="1"/>
  <c r="P115" i="3"/>
  <c r="M115" i="3"/>
  <c r="N115" i="3" s="1"/>
  <c r="L115" i="3"/>
  <c r="P114" i="3"/>
  <c r="M114" i="3"/>
  <c r="N114" i="3" s="1"/>
  <c r="L114" i="3"/>
  <c r="P113" i="3"/>
  <c r="Q113" i="3" s="1"/>
  <c r="S113" i="3" s="1"/>
  <c r="O113" i="3"/>
  <c r="N113" i="3"/>
  <c r="L113" i="3"/>
  <c r="M113" i="3" s="1"/>
  <c r="P112" i="3"/>
  <c r="Q112" i="3" s="1"/>
  <c r="O112" i="3"/>
  <c r="N112" i="3"/>
  <c r="L112" i="3"/>
  <c r="M112" i="3" s="1"/>
  <c r="P111" i="3"/>
  <c r="Q111" i="3" s="1"/>
  <c r="O111" i="3"/>
  <c r="N111" i="3"/>
  <c r="L111" i="3"/>
  <c r="M111" i="3" s="1"/>
  <c r="O110" i="3"/>
  <c r="P110" i="3" s="1"/>
  <c r="M110" i="3"/>
  <c r="N110" i="3" s="1"/>
  <c r="L110" i="3"/>
  <c r="P109" i="3"/>
  <c r="M109" i="3"/>
  <c r="N109" i="3" s="1"/>
  <c r="L109" i="3"/>
  <c r="O108" i="3"/>
  <c r="P108" i="3" s="1"/>
  <c r="Q108" i="3" s="1"/>
  <c r="M108" i="3"/>
  <c r="N108" i="3" s="1"/>
  <c r="L108" i="3"/>
  <c r="Q107" i="3"/>
  <c r="P107" i="3"/>
  <c r="N107" i="3"/>
  <c r="L107" i="3"/>
  <c r="M107" i="3" s="1"/>
  <c r="P106" i="3"/>
  <c r="M106" i="3"/>
  <c r="N106" i="3" s="1"/>
  <c r="L106" i="3"/>
  <c r="O105" i="3"/>
  <c r="P105" i="3" s="1"/>
  <c r="Q105" i="3" s="1"/>
  <c r="M105" i="3"/>
  <c r="N105" i="3" s="1"/>
  <c r="L105" i="3"/>
  <c r="P104" i="3"/>
  <c r="Q104" i="3" s="1"/>
  <c r="S104" i="3" s="1"/>
  <c r="O104" i="3"/>
  <c r="N104" i="3"/>
  <c r="L104" i="3"/>
  <c r="M104" i="3" s="1"/>
  <c r="P103" i="3"/>
  <c r="Q103" i="3" s="1"/>
  <c r="O103" i="3"/>
  <c r="N103" i="3"/>
  <c r="L103" i="3"/>
  <c r="M103" i="3" s="1"/>
  <c r="P102" i="3"/>
  <c r="Q102" i="3" s="1"/>
  <c r="O102" i="3"/>
  <c r="N102" i="3"/>
  <c r="L102" i="3"/>
  <c r="M102" i="3" s="1"/>
  <c r="Q101" i="3"/>
  <c r="S101" i="3" s="1"/>
  <c r="P101" i="3"/>
  <c r="N101" i="3"/>
  <c r="L101" i="3"/>
  <c r="M101" i="3" s="1"/>
  <c r="P100" i="3"/>
  <c r="Q100" i="3" s="1"/>
  <c r="S100" i="3" s="1"/>
  <c r="N100" i="3"/>
  <c r="L100" i="3"/>
  <c r="M100" i="3" s="1"/>
  <c r="O99" i="3"/>
  <c r="P99" i="3" s="1"/>
  <c r="Q99" i="3" s="1"/>
  <c r="S99" i="3" s="1"/>
  <c r="M99" i="3"/>
  <c r="N99" i="3" s="1"/>
  <c r="L99" i="3"/>
  <c r="P98" i="3"/>
  <c r="Q98" i="3" s="1"/>
  <c r="S98" i="3" s="1"/>
  <c r="O98" i="3"/>
  <c r="L98" i="3"/>
  <c r="M98" i="3" s="1"/>
  <c r="N98" i="3" s="1"/>
  <c r="P97" i="3"/>
  <c r="Q97" i="3" s="1"/>
  <c r="S97" i="3" s="1"/>
  <c r="O97" i="3"/>
  <c r="L97" i="3"/>
  <c r="M97" i="3" s="1"/>
  <c r="N97" i="3" s="1"/>
  <c r="O96" i="3"/>
  <c r="P96" i="3" s="1"/>
  <c r="Q96" i="3" s="1"/>
  <c r="S96" i="3" s="1"/>
  <c r="L96" i="3"/>
  <c r="M96" i="3" s="1"/>
  <c r="N96" i="3" s="1"/>
  <c r="O95" i="3"/>
  <c r="N95" i="3"/>
  <c r="M95" i="3"/>
  <c r="L95" i="3"/>
  <c r="J95" i="3"/>
  <c r="P95" i="3" s="1"/>
  <c r="Q95" i="3" s="1"/>
  <c r="S95" i="3" s="1"/>
  <c r="L94" i="3"/>
  <c r="M94" i="3" s="1"/>
  <c r="N94" i="3" s="1"/>
  <c r="J94" i="3"/>
  <c r="P94" i="3" s="1"/>
  <c r="P93" i="3"/>
  <c r="O93" i="3"/>
  <c r="L93" i="3"/>
  <c r="M93" i="3" s="1"/>
  <c r="N93" i="3" s="1"/>
  <c r="O92" i="3"/>
  <c r="P92" i="3" s="1"/>
  <c r="Q92" i="3" s="1"/>
  <c r="S92" i="3" s="1"/>
  <c r="M92" i="3"/>
  <c r="N92" i="3" s="1"/>
  <c r="K92" i="3"/>
  <c r="P91" i="3"/>
  <c r="Q91" i="3" s="1"/>
  <c r="S91" i="3" s="1"/>
  <c r="O91" i="3"/>
  <c r="N91" i="3"/>
  <c r="M91" i="3"/>
  <c r="P90" i="3"/>
  <c r="O90" i="3"/>
  <c r="N90" i="3"/>
  <c r="M90" i="3"/>
  <c r="Q90" i="3" s="1"/>
  <c r="S90" i="3" s="1"/>
  <c r="L90" i="3"/>
  <c r="J90" i="3"/>
  <c r="P89" i="3"/>
  <c r="O89" i="3"/>
  <c r="N89" i="3"/>
  <c r="M89" i="3"/>
  <c r="Q89" i="3" s="1"/>
  <c r="S89" i="3" s="1"/>
  <c r="L89" i="3"/>
  <c r="O88" i="3"/>
  <c r="P88" i="3" s="1"/>
  <c r="Q88" i="3" s="1"/>
  <c r="S88" i="3" s="1"/>
  <c r="L88" i="3"/>
  <c r="M88" i="3" s="1"/>
  <c r="N88" i="3" s="1"/>
  <c r="Q87" i="3"/>
  <c r="P87" i="3"/>
  <c r="M87" i="3"/>
  <c r="N87" i="3" s="1"/>
  <c r="P86" i="3"/>
  <c r="O86" i="3"/>
  <c r="L86" i="3"/>
  <c r="M86" i="3" s="1"/>
  <c r="N86" i="3" s="1"/>
  <c r="P85" i="3"/>
  <c r="O85" i="3"/>
  <c r="N85" i="3"/>
  <c r="M85" i="3"/>
  <c r="Q85" i="3" s="1"/>
  <c r="O84" i="3"/>
  <c r="M84" i="3"/>
  <c r="J84" i="3"/>
  <c r="P84" i="3" s="1"/>
  <c r="S84" i="3" s="1"/>
  <c r="P83" i="3"/>
  <c r="Q83" i="3" s="1"/>
  <c r="S83" i="3" s="1"/>
  <c r="O83" i="3"/>
  <c r="M83" i="3"/>
  <c r="N83" i="3" s="1"/>
  <c r="L82" i="3"/>
  <c r="M82" i="3" s="1"/>
  <c r="N82" i="3" s="1"/>
  <c r="J82" i="3"/>
  <c r="P82" i="3" s="1"/>
  <c r="P81" i="3"/>
  <c r="O81" i="3"/>
  <c r="M81" i="3"/>
  <c r="N81" i="3" s="1"/>
  <c r="L81" i="3"/>
  <c r="J81" i="3"/>
  <c r="P80" i="3"/>
  <c r="Q80" i="3" s="1"/>
  <c r="S80" i="3" s="1"/>
  <c r="L80" i="3"/>
  <c r="M80" i="3" s="1"/>
  <c r="J80" i="3"/>
  <c r="O79" i="3"/>
  <c r="P79" i="3" s="1"/>
  <c r="Q79" i="3" s="1"/>
  <c r="S79" i="3" s="1"/>
  <c r="L79" i="3"/>
  <c r="M79" i="3" s="1"/>
  <c r="N79" i="3" s="1"/>
  <c r="P78" i="3"/>
  <c r="N78" i="3"/>
  <c r="M78" i="3"/>
  <c r="L78" i="3"/>
  <c r="P77" i="3"/>
  <c r="Q77" i="3" s="1"/>
  <c r="S77" i="3" s="1"/>
  <c r="O77" i="3"/>
  <c r="L77" i="3"/>
  <c r="M77" i="3" s="1"/>
  <c r="N77" i="3" s="1"/>
  <c r="P76" i="3"/>
  <c r="Q76" i="3" s="1"/>
  <c r="S76" i="3" s="1"/>
  <c r="O76" i="3"/>
  <c r="L76" i="3"/>
  <c r="M76" i="3" s="1"/>
  <c r="N76" i="3" s="1"/>
  <c r="P75" i="3"/>
  <c r="Q75" i="3" s="1"/>
  <c r="S75" i="3" s="1"/>
  <c r="N75" i="3"/>
  <c r="M75" i="3"/>
  <c r="L75" i="3"/>
  <c r="Q74" i="3"/>
  <c r="S74" i="3" s="1"/>
  <c r="P74" i="3"/>
  <c r="L74" i="3"/>
  <c r="M74" i="3" s="1"/>
  <c r="N74" i="3" s="1"/>
  <c r="O73" i="3"/>
  <c r="P73" i="3" s="1"/>
  <c r="Q73" i="3" s="1"/>
  <c r="S73" i="3" s="1"/>
  <c r="N73" i="3"/>
  <c r="L73" i="3"/>
  <c r="M73" i="3" s="1"/>
  <c r="Q72" i="3"/>
  <c r="S72" i="3" s="1"/>
  <c r="O72" i="3"/>
  <c r="P72" i="3" s="1"/>
  <c r="M72" i="3"/>
  <c r="N72" i="3" s="1"/>
  <c r="K72" i="3"/>
  <c r="P71" i="3"/>
  <c r="O71" i="3"/>
  <c r="M71" i="3"/>
  <c r="N71" i="3" s="1"/>
  <c r="L71" i="3"/>
  <c r="P70" i="3"/>
  <c r="M70" i="3"/>
  <c r="N70" i="3" s="1"/>
  <c r="L70" i="3"/>
  <c r="O69" i="3"/>
  <c r="P69" i="3" s="1"/>
  <c r="Q69" i="3" s="1"/>
  <c r="L69" i="3"/>
  <c r="M69" i="3" s="1"/>
  <c r="N69" i="3" s="1"/>
  <c r="O68" i="3"/>
  <c r="P68" i="3" s="1"/>
  <c r="M68" i="3"/>
  <c r="Q68" i="3" s="1"/>
  <c r="L68" i="3"/>
  <c r="O67" i="3"/>
  <c r="P67" i="3" s="1"/>
  <c r="Q67" i="3" s="1"/>
  <c r="L67" i="3"/>
  <c r="M67" i="3" s="1"/>
  <c r="N67" i="3" s="1"/>
  <c r="O66" i="3"/>
  <c r="P66" i="3" s="1"/>
  <c r="M66" i="3"/>
  <c r="Q66" i="3" s="1"/>
  <c r="L66" i="3"/>
  <c r="P65" i="3"/>
  <c r="L65" i="3"/>
  <c r="M65" i="3" s="1"/>
  <c r="N65" i="3" s="1"/>
  <c r="P64" i="3"/>
  <c r="O64" i="3"/>
  <c r="M64" i="3"/>
  <c r="N64" i="3" s="1"/>
  <c r="L64" i="3"/>
  <c r="P63" i="3"/>
  <c r="L63" i="3"/>
  <c r="M63" i="3" s="1"/>
  <c r="N63" i="3" s="1"/>
  <c r="O62" i="3"/>
  <c r="P62" i="3" s="1"/>
  <c r="Q62" i="3" s="1"/>
  <c r="S62" i="3" s="1"/>
  <c r="N62" i="3"/>
  <c r="M62" i="3"/>
  <c r="L62" i="3"/>
  <c r="P61" i="3"/>
  <c r="O61" i="3"/>
  <c r="K61" i="3"/>
  <c r="M61" i="3" s="1"/>
  <c r="N61" i="3" s="1"/>
  <c r="P60" i="3"/>
  <c r="Q60" i="3" s="1"/>
  <c r="S60" i="3" s="1"/>
  <c r="N60" i="3"/>
  <c r="L60" i="3"/>
  <c r="M60" i="3" s="1"/>
  <c r="J60" i="3"/>
  <c r="O59" i="3"/>
  <c r="L59" i="3"/>
  <c r="M59" i="3" s="1"/>
  <c r="J59" i="3"/>
  <c r="P59" i="3" s="1"/>
  <c r="Q59" i="3" s="1"/>
  <c r="S59" i="3" s="1"/>
  <c r="O58" i="3"/>
  <c r="P58" i="3" s="1"/>
  <c r="M58" i="3"/>
  <c r="Q58" i="3" s="1"/>
  <c r="P57" i="3"/>
  <c r="Q57" i="3" s="1"/>
  <c r="S57" i="3" s="1"/>
  <c r="O57" i="3"/>
  <c r="J57" i="3"/>
  <c r="N57" i="3" s="1"/>
  <c r="O56" i="3"/>
  <c r="P56" i="3" s="1"/>
  <c r="M56" i="3"/>
  <c r="Q56" i="3" s="1"/>
  <c r="S56" i="3" s="1"/>
  <c r="K56" i="3"/>
  <c r="P55" i="3"/>
  <c r="Q55" i="3" s="1"/>
  <c r="S55" i="3" s="1"/>
  <c r="O55" i="3"/>
  <c r="M55" i="3"/>
  <c r="N55" i="3" s="1"/>
  <c r="K55" i="3"/>
  <c r="P54" i="3"/>
  <c r="N54" i="3"/>
  <c r="K54" i="3"/>
  <c r="M54" i="3" s="1"/>
  <c r="P53" i="3"/>
  <c r="M53" i="3"/>
  <c r="N53" i="3" s="1"/>
  <c r="L53" i="3"/>
  <c r="P52" i="3"/>
  <c r="N52" i="3"/>
  <c r="M52" i="3"/>
  <c r="L52" i="3"/>
  <c r="P51" i="3"/>
  <c r="O51" i="3"/>
  <c r="L51" i="3"/>
  <c r="M51" i="3" s="1"/>
  <c r="N51" i="3" s="1"/>
  <c r="P50" i="3"/>
  <c r="Q50" i="3" s="1"/>
  <c r="S50" i="3" s="1"/>
  <c r="N50" i="3"/>
  <c r="L50" i="3"/>
  <c r="M50" i="3" s="1"/>
  <c r="P49" i="3"/>
  <c r="L49" i="3"/>
  <c r="M49" i="3" s="1"/>
  <c r="P48" i="3"/>
  <c r="Q48" i="3" s="1"/>
  <c r="S48" i="3" s="1"/>
  <c r="O48" i="3"/>
  <c r="L48" i="3"/>
  <c r="M48" i="3" s="1"/>
  <c r="N48" i="3" s="1"/>
  <c r="P47" i="3"/>
  <c r="Q47" i="3" s="1"/>
  <c r="S47" i="3" s="1"/>
  <c r="N47" i="3"/>
  <c r="M47" i="3"/>
  <c r="L47" i="3"/>
  <c r="P46" i="3"/>
  <c r="O46" i="3"/>
  <c r="L46" i="3"/>
  <c r="M46" i="3" s="1"/>
  <c r="P45" i="3"/>
  <c r="O45" i="3"/>
  <c r="L45" i="3"/>
  <c r="M45" i="3" s="1"/>
  <c r="N45" i="3" s="1"/>
  <c r="P44" i="3"/>
  <c r="M44" i="3"/>
  <c r="N44" i="3" s="1"/>
  <c r="L44" i="3"/>
  <c r="O43" i="3"/>
  <c r="M43" i="3"/>
  <c r="N43" i="3" s="1"/>
  <c r="L43" i="3"/>
  <c r="P42" i="3"/>
  <c r="Q42" i="3" s="1"/>
  <c r="S42" i="3" s="1"/>
  <c r="O42" i="3"/>
  <c r="L42" i="3"/>
  <c r="M42" i="3" s="1"/>
  <c r="N42" i="3" s="1"/>
  <c r="O41" i="3"/>
  <c r="P41" i="3" s="1"/>
  <c r="M41" i="3"/>
  <c r="Q41" i="3" s="1"/>
  <c r="S41" i="3" s="1"/>
  <c r="L41" i="3"/>
  <c r="P40" i="3"/>
  <c r="O40" i="3"/>
  <c r="L40" i="3"/>
  <c r="M40" i="3" s="1"/>
  <c r="N40" i="3" s="1"/>
  <c r="O39" i="3"/>
  <c r="P39" i="3" s="1"/>
  <c r="Q39" i="3" s="1"/>
  <c r="S39" i="3" s="1"/>
  <c r="M39" i="3"/>
  <c r="N39" i="3" s="1"/>
  <c r="L39" i="3"/>
  <c r="O38" i="3"/>
  <c r="P38" i="3" s="1"/>
  <c r="Q38" i="3" s="1"/>
  <c r="S38" i="3" s="1"/>
  <c r="N38" i="3"/>
  <c r="L38" i="3"/>
  <c r="M38" i="3" s="1"/>
  <c r="Q37" i="3"/>
  <c r="S37" i="3" s="1"/>
  <c r="O37" i="3"/>
  <c r="P37" i="3" s="1"/>
  <c r="M37" i="3"/>
  <c r="N37" i="3" s="1"/>
  <c r="L37" i="3"/>
  <c r="P36" i="3"/>
  <c r="M36" i="3"/>
  <c r="Q36" i="3" s="1"/>
  <c r="L36" i="3"/>
  <c r="P35" i="3"/>
  <c r="O35" i="3"/>
  <c r="L35" i="3"/>
  <c r="M35" i="3" s="1"/>
  <c r="N35" i="3" s="1"/>
  <c r="O34" i="3"/>
  <c r="P34" i="3" s="1"/>
  <c r="Q34" i="3" s="1"/>
  <c r="N34" i="3"/>
  <c r="M34" i="3"/>
  <c r="L34" i="3"/>
  <c r="P33" i="3"/>
  <c r="O33" i="3"/>
  <c r="M33" i="3"/>
  <c r="Q33" i="3" s="1"/>
  <c r="S33" i="3" s="1"/>
  <c r="L33" i="3"/>
  <c r="P32" i="3"/>
  <c r="Q32" i="3" s="1"/>
  <c r="N32" i="3"/>
  <c r="M32" i="3"/>
  <c r="L32" i="3"/>
  <c r="P31" i="3"/>
  <c r="L31" i="3"/>
  <c r="M31" i="3" s="1"/>
  <c r="N31" i="3" s="1"/>
  <c r="P30" i="3"/>
  <c r="L30" i="3"/>
  <c r="M30" i="3" s="1"/>
  <c r="P29" i="3"/>
  <c r="M29" i="3"/>
  <c r="Q29" i="3" s="1"/>
  <c r="L29" i="3"/>
  <c r="P28" i="3"/>
  <c r="Q28" i="3" s="1"/>
  <c r="N28" i="3"/>
  <c r="M28" i="3"/>
  <c r="L28" i="3"/>
  <c r="P27" i="3"/>
  <c r="Q27" i="3" s="1"/>
  <c r="L27" i="3"/>
  <c r="M27" i="3" s="1"/>
  <c r="N27" i="3" s="1"/>
  <c r="P26" i="3"/>
  <c r="L26" i="3"/>
  <c r="M26" i="3" s="1"/>
  <c r="O25" i="3"/>
  <c r="P25" i="3" s="1"/>
  <c r="Q25" i="3" s="1"/>
  <c r="S25" i="3" s="1"/>
  <c r="L25" i="3"/>
  <c r="M25" i="3" s="1"/>
  <c r="N25" i="3" s="1"/>
  <c r="O24" i="3"/>
  <c r="P24" i="3" s="1"/>
  <c r="Q24" i="3" s="1"/>
  <c r="S24" i="3" s="1"/>
  <c r="N24" i="3"/>
  <c r="M24" i="3"/>
  <c r="L24" i="3"/>
  <c r="P23" i="3"/>
  <c r="O23" i="3"/>
  <c r="M23" i="3"/>
  <c r="Q23" i="3" s="1"/>
  <c r="S23" i="3" s="1"/>
  <c r="L23" i="3"/>
  <c r="P22" i="3"/>
  <c r="Q22" i="3" s="1"/>
  <c r="S22" i="3" s="1"/>
  <c r="O22" i="3"/>
  <c r="M22" i="3"/>
  <c r="N22" i="3" s="1"/>
  <c r="L22" i="3"/>
  <c r="O21" i="3"/>
  <c r="P21" i="3" s="1"/>
  <c r="Q21" i="3" s="1"/>
  <c r="S21" i="3" s="1"/>
  <c r="L21" i="3"/>
  <c r="M21" i="3" s="1"/>
  <c r="N21" i="3" s="1"/>
  <c r="P20" i="3"/>
  <c r="O20" i="3"/>
  <c r="M20" i="3"/>
  <c r="Q20" i="3" s="1"/>
  <c r="L20" i="3"/>
  <c r="O19" i="3"/>
  <c r="P19" i="3" s="1"/>
  <c r="Q19" i="3" s="1"/>
  <c r="L19" i="3"/>
  <c r="M19" i="3" s="1"/>
  <c r="N19" i="3" s="1"/>
  <c r="P18" i="3"/>
  <c r="O18" i="3"/>
  <c r="M18" i="3"/>
  <c r="N18" i="3" s="1"/>
  <c r="L18" i="3"/>
  <c r="O17" i="3"/>
  <c r="P17" i="3" s="1"/>
  <c r="Q17" i="3" s="1"/>
  <c r="L17" i="3"/>
  <c r="M17" i="3" s="1"/>
  <c r="N17" i="3" s="1"/>
  <c r="P16" i="3"/>
  <c r="L16" i="3"/>
  <c r="M16" i="3" s="1"/>
  <c r="O15" i="3"/>
  <c r="P15" i="3" s="1"/>
  <c r="Q15" i="3" s="1"/>
  <c r="S15" i="3" s="1"/>
  <c r="L15" i="3"/>
  <c r="M15" i="3" s="1"/>
  <c r="N15" i="3" s="1"/>
  <c r="O14" i="3"/>
  <c r="P14" i="3" s="1"/>
  <c r="Q14" i="3" s="1"/>
  <c r="S14" i="3" s="1"/>
  <c r="N14" i="3"/>
  <c r="M14" i="3"/>
  <c r="L14" i="3"/>
  <c r="P13" i="3"/>
  <c r="L13" i="3"/>
  <c r="M13" i="3" s="1"/>
  <c r="O12" i="3"/>
  <c r="P12" i="3" s="1"/>
  <c r="Q12" i="3" s="1"/>
  <c r="N12" i="3"/>
  <c r="M12" i="3"/>
  <c r="L12" i="3"/>
  <c r="P11" i="3"/>
  <c r="L11" i="3"/>
  <c r="M11" i="3" s="1"/>
  <c r="P10" i="3"/>
  <c r="Q10" i="3" s="1"/>
  <c r="S10" i="3" s="1"/>
  <c r="N10" i="3"/>
  <c r="M10" i="3"/>
  <c r="L10" i="3"/>
  <c r="P9" i="3"/>
  <c r="O9" i="3"/>
  <c r="M9" i="3"/>
  <c r="N9" i="3" s="1"/>
  <c r="L9" i="3"/>
  <c r="N30" i="3" l="1"/>
  <c r="Q30" i="3"/>
  <c r="N11" i="3"/>
  <c r="Q11" i="3"/>
  <c r="S11" i="3" s="1"/>
  <c r="N26" i="3"/>
  <c r="Q26" i="3"/>
  <c r="N49" i="3"/>
  <c r="Q49" i="3"/>
  <c r="S49" i="3" s="1"/>
  <c r="Q35" i="3"/>
  <c r="S35" i="3" s="1"/>
  <c r="Q40" i="3"/>
  <c r="S40" i="3" s="1"/>
  <c r="N46" i="3"/>
  <c r="Q46" i="3"/>
  <c r="S46" i="3" s="1"/>
  <c r="Q13" i="3"/>
  <c r="S13" i="3" s="1"/>
  <c r="N13" i="3"/>
  <c r="N16" i="3"/>
  <c r="Q16" i="3"/>
  <c r="Q31" i="3"/>
  <c r="Q51" i="3"/>
  <c r="S51" i="3" s="1"/>
  <c r="Q61" i="3"/>
  <c r="S61" i="3" s="1"/>
  <c r="Q82" i="3"/>
  <c r="S82" i="3" s="1"/>
  <c r="Q9" i="3"/>
  <c r="Q18" i="3"/>
  <c r="N242" i="3"/>
  <c r="Q242" i="3"/>
  <c r="N20" i="3"/>
  <c r="N23" i="3"/>
  <c r="N29" i="3"/>
  <c r="N33" i="3"/>
  <c r="N36" i="3"/>
  <c r="N41" i="3"/>
  <c r="Q43" i="3"/>
  <c r="S43" i="3" s="1"/>
  <c r="Q52" i="3"/>
  <c r="Q53" i="3"/>
  <c r="S53" i="3" s="1"/>
  <c r="Q54" i="3"/>
  <c r="S54" i="3" s="1"/>
  <c r="N56" i="3"/>
  <c r="N58" i="3"/>
  <c r="N66" i="3"/>
  <c r="N68" i="3"/>
  <c r="Q78" i="3"/>
  <c r="S78" i="3" s="1"/>
  <c r="N182" i="3"/>
  <c r="Q182" i="3"/>
  <c r="S182" i="3" s="1"/>
  <c r="P119" i="3"/>
  <c r="Q119" i="3" s="1"/>
  <c r="N119" i="3"/>
  <c r="Q44" i="3"/>
  <c r="S44" i="3" s="1"/>
  <c r="N59" i="3"/>
  <c r="Q63" i="3"/>
  <c r="S63" i="3" s="1"/>
  <c r="Q65" i="3"/>
  <c r="Q70" i="3"/>
  <c r="N80" i="3"/>
  <c r="Q86" i="3"/>
  <c r="S86" i="3" s="1"/>
  <c r="Q93" i="3"/>
  <c r="S93" i="3" s="1"/>
  <c r="Q110" i="3"/>
  <c r="S110" i="3" s="1"/>
  <c r="N229" i="3"/>
  <c r="P229" i="3"/>
  <c r="Q229" i="3" s="1"/>
  <c r="Q45" i="3"/>
  <c r="S45" i="3" s="1"/>
  <c r="Q64" i="3"/>
  <c r="Q71" i="3"/>
  <c r="S71" i="3" s="1"/>
  <c r="Q81" i="3"/>
  <c r="S81" i="3" s="1"/>
  <c r="Q94" i="3"/>
  <c r="S94" i="3" s="1"/>
  <c r="N164" i="3"/>
  <c r="Q164" i="3"/>
  <c r="S164" i="3" s="1"/>
  <c r="N192" i="3"/>
  <c r="Q192" i="3"/>
  <c r="S192" i="3" s="1"/>
  <c r="Q109" i="3"/>
  <c r="S109" i="3" s="1"/>
  <c r="Q128" i="3"/>
  <c r="S128" i="3" s="1"/>
  <c r="Q129" i="3"/>
  <c r="S129" i="3" s="1"/>
  <c r="Q130" i="3"/>
  <c r="S130" i="3" s="1"/>
  <c r="Q131" i="3"/>
  <c r="S131" i="3" s="1"/>
  <c r="N240" i="3"/>
  <c r="Q240" i="3"/>
  <c r="Q267" i="3"/>
  <c r="N267" i="3"/>
  <c r="Q106" i="3"/>
  <c r="Q114" i="3"/>
  <c r="S114" i="3" s="1"/>
  <c r="Q115" i="3"/>
  <c r="N170" i="3"/>
  <c r="Q170" i="3"/>
  <c r="S170" i="3" s="1"/>
  <c r="Q177" i="3"/>
  <c r="N177" i="3"/>
  <c r="N181" i="3"/>
  <c r="Q181" i="3"/>
  <c r="S181" i="3" s="1"/>
  <c r="N183" i="3"/>
  <c r="P183" i="3"/>
  <c r="Q183" i="3" s="1"/>
  <c r="N185" i="3"/>
  <c r="P185" i="3"/>
  <c r="Q185" i="3" s="1"/>
  <c r="N191" i="3"/>
  <c r="Q191" i="3"/>
  <c r="S191" i="3" s="1"/>
  <c r="N193" i="3"/>
  <c r="P193" i="3"/>
  <c r="Q193" i="3" s="1"/>
  <c r="N209" i="3"/>
  <c r="P209" i="3"/>
  <c r="Q209" i="3" s="1"/>
  <c r="Q232" i="3"/>
  <c r="N232" i="3"/>
  <c r="N266" i="3"/>
  <c r="P266" i="3"/>
  <c r="Q266" i="3" s="1"/>
  <c r="Q133" i="3"/>
  <c r="Q134" i="3"/>
  <c r="Q135" i="3"/>
  <c r="Q136" i="3"/>
  <c r="Q137" i="3"/>
  <c r="S137" i="3" s="1"/>
  <c r="P149" i="3"/>
  <c r="Q149" i="3" s="1"/>
  <c r="N149" i="3"/>
  <c r="Q154" i="3"/>
  <c r="S154" i="3" s="1"/>
  <c r="Q222" i="3"/>
  <c r="Q227" i="3"/>
  <c r="N227" i="3"/>
  <c r="Q233" i="3"/>
  <c r="Q260" i="3"/>
  <c r="S260" i="3" s="1"/>
  <c r="N260" i="3"/>
  <c r="Q180" i="3"/>
  <c r="Q184" i="3"/>
  <c r="Q186" i="3"/>
  <c r="S186" i="3" s="1"/>
  <c r="Q187" i="3"/>
  <c r="S187" i="3" s="1"/>
  <c r="Q188" i="3"/>
  <c r="S188" i="3" s="1"/>
  <c r="Q189" i="3"/>
  <c r="S189" i="3" s="1"/>
  <c r="Q190" i="3"/>
  <c r="Q212" i="3"/>
  <c r="Q221" i="3"/>
  <c r="Q231" i="3"/>
  <c r="Q237" i="3"/>
  <c r="S237" i="3" s="1"/>
  <c r="Q261" i="3"/>
  <c r="S261" i="3" s="1"/>
  <c r="Q262" i="3"/>
  <c r="P263" i="3"/>
  <c r="Q263" i="3" s="1"/>
  <c r="Q268" i="3"/>
  <c r="Q155" i="3"/>
  <c r="S155" i="3" s="1"/>
  <c r="Q171" i="3"/>
  <c r="S171" i="3" s="1"/>
  <c r="Q176" i="3"/>
  <c r="P203" i="3"/>
  <c r="Q203" i="3" s="1"/>
  <c r="Q206" i="3"/>
  <c r="Q217" i="3"/>
  <c r="Q228" i="3"/>
  <c r="N264" i="3"/>
  <c r="Q265" i="3"/>
  <c r="N200" i="3"/>
  <c r="N204" i="3"/>
  <c r="Q218" i="3" l="1"/>
  <c r="Q172" i="3"/>
  <c r="S9" i="3"/>
  <c r="E299" i="2" l="1"/>
  <c r="I89" i="2"/>
  <c r="J88" i="2"/>
</calcChain>
</file>

<file path=xl/sharedStrings.xml><?xml version="1.0" encoding="utf-8"?>
<sst xmlns="http://schemas.openxmlformats.org/spreadsheetml/2006/main" count="3473" uniqueCount="1789">
  <si>
    <r>
      <t>INSTITUTO GEOGRÁFICO NACIONAL</t>
    </r>
    <r>
      <rPr>
        <sz val="11"/>
        <color rgb="FF000000"/>
        <rFont val="Times New Roman"/>
        <family val="1"/>
      </rPr>
      <t> </t>
    </r>
  </si>
  <si>
    <r>
      <t>“José Joaquín Hungría Morell”</t>
    </r>
    <r>
      <rPr>
        <sz val="11"/>
        <color rgb="FF000000"/>
        <rFont val="Times New Roman"/>
        <family val="1"/>
      </rPr>
      <t> </t>
    </r>
  </si>
  <si>
    <t>Notas Estados Financieros Corte diciembre 2023-2022</t>
  </si>
  <si>
    <t>NOTA 1: Entidad Económica</t>
  </si>
  <si>
    <t>El Instituto Geográfico Nacional José Joaquín Hungría Morell (IGN-JJHM), se crea mediante la Ley 208-14, d/f 31 de diciembre 2014, como un organismo público descentralizado, con autonomía administrativa, técnica, económica y financiera, con personalidad jurídica propia y con plena capacidad de obrar para cumplir sus obligaciones, iniciando sus operaciones en enero 2016. </t>
  </si>
  <si>
    <t>Está adscrito al Ministerio de Economía Planificación y Desarrollo, quien ejercerá sobre ésta la potestad de tutela, a los fines de verificar que su funcionamiento se ajuste con las disposiciones legales establecidas.  </t>
  </si>
  <si>
    <t>El Instituto Geográfico Nacional José Joaquín Hungría Morell (IGN-JJHM), es el órgano del Estado dominicano, responsable de la formulación de las políticas y las acciones que de ellas se deriven en las áreas de Geografía, Cartografía y Geodesia y sus aplicaciones, así como de la planificación, organización, dirección, coordinación, ejecución, aprobación y control de las actividades encaminadas a la elaboración de la cartografía nacional y del archivo de datos geográficos del país.  </t>
  </si>
  <si>
    <t>Además, realiza el Levantamiento Cartográfico por métodos convencionales y aquellos que surgieren producto de los avances tecnológicos, relacionados con estudios de las Ciencias Geográficas y que el país requiere para su desarrollo sostenible. </t>
  </si>
  <si>
    <t>La Cartografía concerniente a la seguridad del país y que cuya información responda a fines estratégicos militares del estado dominicano corresponde al Ministerio de las Fuerzas Armadas.</t>
  </si>
  <si>
    <t>Funciones del Instituto Geográfico Nacional José Joaquín Hungría Morell (IGN-JJHM): </t>
  </si>
  <si>
    <t>1) Establecer políticas generales tendentes al fortalecimiento, protección y desarrollo en las áreas de Geografía, Cartografía y Geodesia.  </t>
  </si>
  <si>
    <t>2) Organizar las actividades encaminadas al perfeccionamiento y fortalecimiento del Sistema Geodésico Nacional.  </t>
  </si>
  <si>
    <t>3) Promover por métodos convencionales, relaciones con organismos oficiales y privados, asesorías técnicas, investigaciones nacionales y extranjeras, especialización promocional, educación, y la integración de la sociedad al conocimiento y cuidado en los campos de su actividad.</t>
  </si>
  <si>
    <t>4) Apoyar a organismos en las tomas de decisiones sobre el área de su competencia. </t>
  </si>
  <si>
    <t>5) Regular todo lo relativo a la preparación, edición y emisión de la Cartografía Nacional y del Archivo de Datos Geográficos del país.  </t>
  </si>
  <si>
    <t>6) Cumplir cualquier otra función que le sea atribuida en el marco de las leyes y el reglamento de aplicación.  </t>
  </si>
  <si>
    <r>
      <t>Ubicación Geográfica</t>
    </r>
    <r>
      <rPr>
        <b/>
        <sz val="11"/>
        <rFont val="Times New Roman"/>
        <family val="1"/>
      </rPr>
      <t> </t>
    </r>
  </si>
  <si>
    <t>El Instituto Geográfico Nacional José Joaquín Hungría Morell (IGN-JJHM) está ubicado en la Calle Jonás Salk esq.  Benigno Filomeno de Rojas, No. 101, Zona Universitaria, Santo Domingo, República Dominicana. </t>
  </si>
  <si>
    <r>
      <t>Funcionarios que lo integran</t>
    </r>
    <r>
      <rPr>
        <sz val="11"/>
        <rFont val="Times New Roman"/>
        <family val="1"/>
      </rPr>
      <t> </t>
    </r>
  </si>
  <si>
    <t>Bolívar Troncoso Morales              Director General </t>
  </si>
  <si>
    <t>María Lajara de Ruiz                      Encargada Administrativa Financiera </t>
  </si>
  <si>
    <t>Brenda Y. Matos De Ogando         Encargada De Contabilidad </t>
  </si>
  <si>
    <r>
      <t>Nota 2. Base de preparación de los Estados Financieros</t>
    </r>
    <r>
      <rPr>
        <sz val="11"/>
        <color rgb="FF000000"/>
        <rFont val="Times New Roman"/>
        <family val="1"/>
      </rPr>
      <t> </t>
    </r>
  </si>
  <si>
    <t>La formulación de los Estados Financieros, de los cuales forman parte las presentes notas, se basan fundamentalmente, en la normativa contable emitida por la Dirección General de Contabilidad Gubernamental (DIGECOG) y hasta donde es posible su aplicación, en las Normas Internacionales de Contabilidad para el Sector Público (NICSP). </t>
  </si>
  <si>
    <t>Los Estados Financieros están elaborados de conformidad con la ley 126-01, su Reglamento de Aplicación y las Normas de Corte semestral, emitidas por DIGECOG para el periodo 2023. </t>
  </si>
  <si>
    <t>El método utilizado para la presentación, de los Estados financieros es sobre la base de acumulación o devengo, conforme a las estipulaciones de las NICSP 24. </t>
  </si>
  <si>
    <t>Esta institución presenta su presupuesto aprobado según la base contable de efectivo, siguiendo una clasificación de pago por objeto. El presupuesto aprobado cubre el periodo que va desde el 1 de enero al 31 de diciembre 2023. Y es incluido como información suplementaria en los Estados Financieros y sus notas.  </t>
  </si>
  <si>
    <t>  </t>
  </si>
  <si>
    <r>
      <t>Nota 3. Moneda Funcional y de Presentación</t>
    </r>
    <r>
      <rPr>
        <sz val="11"/>
        <color rgb="FF000000"/>
        <rFont val="Times New Roman"/>
        <family val="1"/>
      </rPr>
      <t>. </t>
    </r>
  </si>
  <si>
    <t>La moneda funcional de la Entidad es peso dominicano (RD$) es la moneda de curso legal de la Republica Dominicana, por lo que todas las cifras presentadas en los estados financieros presentados están expresadas en dicha moneda. </t>
  </si>
  <si>
    <r>
      <t>Nota 4. Uso estimado y Juicio </t>
    </r>
    <r>
      <rPr>
        <sz val="11"/>
        <color rgb="FF000000"/>
        <rFont val="Times New Roman"/>
        <family val="1"/>
      </rPr>
      <t> </t>
    </r>
  </si>
  <si>
    <t>La preparación de los Estados Financieros de conformidad con las Normas Internacionales de Contabilidad del Sector público (NICSP) requiere que la administración realice juicios, estimaciones y supuestos que afectan la aplicación de las políticas contables y los montos de los elementos de los estados financieros (activos, pasivos, ingresos y gastos) reportados. Los resultados reales pueden diferir de estas estimaciones.</t>
  </si>
  <si>
    <t>Las estimaciones y supuestos relevantes son revisados regularmente, los efectos de estas revisiones son reconocidas prospectivamente. </t>
  </si>
  <si>
    <t>Medición de los valores razonables</t>
  </si>
  <si>
    <t>La Entidad cuenta con un marco de control establecido en relación con el cálculo de los valores razonables y tiene la responsabilidad general por la supervisión de todas las mediciones significativas de éste, incluyendo los de Nivel 3. </t>
  </si>
  <si>
    <t>Cuando se mide el valor razonable de un activo o pasivo, Instituto Geográfico Nacional José Joaquín Hungría Morell (IGN-JJHM), utiliza, siempre que sea posible, precios cotizados en un mercado activo.  </t>
  </si>
  <si>
    <t>Si el mercado para un activo o pasivo no es activo, la Entidad establecerá el valor razonable utilizando una técnica de valoración. Con ésta se busca establecer cuál sería, a la fecha de medición, el precio de una transacción realizada.  </t>
  </si>
  <si>
    <t>Los valores se clasifican en niveles distintos dentro de una jerarquía como sigue: </t>
  </si>
  <si>
    <t>Nivel 1: Precios cotizados (no-ajustados) en mercados activos para activos o pasivos idénticos. </t>
  </si>
  <si>
    <t>Nivel 2: Datos diferentes de los precios cotizados incluidos en el Nivel 1, que sean observables para el activo o pasivo, ya sea directa (precios) o indirectamente (derivados de los precios). </t>
  </si>
  <si>
    <t>Nivel 3: Datos para el activo o pasivo que no se basan en datos de mercado observables (variables no observables).  </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</si>
  <si>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 </t>
  </si>
  <si>
    <t>Instituto Geográfico Nacional José Joaquín Hungría Morell (IGN-JJHM), reconoce las transferencias entre los niveles de la jerarquía del valor razonable al final del período sobre el que se informa durante el que ocurrió el cambio. </t>
  </si>
  <si>
    <r>
      <t>Nota 5. Base de medición</t>
    </r>
    <r>
      <rPr>
        <sz val="11"/>
        <color rgb="FF000000"/>
        <rFont val="Times New Roman"/>
        <family val="1"/>
      </rPr>
      <t> </t>
    </r>
  </si>
  <si>
    <t>Estos estados financieros han sido preparados sobre la base del costo histórico. </t>
  </si>
  <si>
    <r>
      <t>Nota 6. Resumen de políticas contables significativas</t>
    </r>
    <r>
      <rPr>
        <sz val="11"/>
        <color rgb="FF000000"/>
        <rFont val="Times New Roman"/>
        <family val="1"/>
      </rPr>
      <t> </t>
    </r>
  </si>
  <si>
    <t>Aquí se detalla todo lo relacionado con las principales políticas contables significativas, aplicadas consistentemente a los períodos sobre los que se informa. </t>
  </si>
  <si>
    <t>Las informaciones para la elaboración de dichos estados fueron extraídas y validada de los Sistema de Administración de Bienes (SIAB) y el SIGEF. </t>
  </si>
  <si>
    <r>
      <t>Cuentas por cobrar y por pagar</t>
    </r>
    <r>
      <rPr>
        <sz val="11"/>
        <color rgb="FF000000"/>
        <rFont val="Times New Roman"/>
        <family val="1"/>
      </rPr>
      <t> </t>
    </r>
  </si>
  <si>
    <t>Los pasivos son reconocidos cuando se ha recibido el bien o servicio que los genera, independiente del momento en el que se realiza el pago. </t>
  </si>
  <si>
    <t>Los pasivos son dados de baja cuando los compromisos son saldados o expira el compromiso. </t>
  </si>
  <si>
    <r>
      <t>Mobiliarios y equipos</t>
    </r>
    <r>
      <rPr>
        <sz val="11"/>
        <rFont val="Times New Roman"/>
        <family val="1"/>
      </rPr>
      <t> </t>
    </r>
  </si>
  <si>
    <r>
      <t>Reconocimiento y medición</t>
    </r>
    <r>
      <rPr>
        <sz val="11"/>
        <rFont val="Times New Roman"/>
        <family val="1"/>
      </rPr>
      <t> </t>
    </r>
  </si>
  <si>
    <t>Las partidas de mobiliarios y equipos son medidas al costo de adquisición menos la depreciación acumulada y pérdidas por deterioro. </t>
  </si>
  <si>
    <t>Si partes significativas de un elemento de mobiliarios y equipos tiene vida útil diferente, se contabiliza como elementos separados de mobiliarios y equipos. </t>
  </si>
  <si>
    <t>Cualquier ganancia o pérdida procedente de la disposición de un elemento de mobiliarios y equipos (calculada como la diferencia entre el valor obtenido de la disposición y el valor en libros del activo) se reconoce en resultados. </t>
  </si>
  <si>
    <r>
      <t>Costos posteriores</t>
    </r>
    <r>
      <rPr>
        <sz val="11"/>
        <color rgb="FF000000"/>
        <rFont val="Times New Roman"/>
        <family val="1"/>
      </rPr>
      <t> </t>
    </r>
  </si>
  <si>
    <t>Los desembolsos posteriores se capitalizan solo si es probable que el Instituto Geográfico Nacional José Joaquín Hungría Morell (IGN-JJHM), reciba los beneficios económicos futuros asociados con los costos. Las reparaciones y mantenimientos continuos se registran como gastos en resultados cuando se incurren.  </t>
  </si>
  <si>
    <r>
      <t>Depreciación</t>
    </r>
    <r>
      <rPr>
        <sz val="11"/>
        <color rgb="FF000000"/>
        <rFont val="Times New Roman"/>
        <family val="1"/>
      </rPr>
      <t> </t>
    </r>
  </si>
  <si>
    <t>La depreciación se calcula sobre el monto depreciable, que corresponde al costo de un activo u otro monto que se sustituye por el costo menos su valor residual. </t>
  </si>
  <si>
    <t>La depreciación es reconocida en resultados con base en el método de línea recta sobre las vidas útiles estimadas de cada parte de una partida de mobiliarios y equipos, puesto que estas reflejan con mayor exactitud el patrón de consumo esperado de los beneficios económicos futuros relacionados con el activo. </t>
  </si>
  <si>
    <t>Los elementos de mobiliarios y equipos se deprecian desde la fecha en la que estén instalados y listos para su uso o en el caso de activos construidos internamente, desde la fecha que el activo esté completado y en condiciones de ser usado. </t>
  </si>
  <si>
    <t>El estimado de vidas útiles de los mobiliarios y equipos, es como sigue: </t>
  </si>
  <si>
    <r>
      <t>Tipo de activo</t>
    </r>
    <r>
      <rPr>
        <sz val="11"/>
        <rFont val="Times New Roman"/>
        <family val="1"/>
      </rPr>
      <t xml:space="preserve">                                Años de vida útil </t>
    </r>
  </si>
  <si>
    <t>Mobiliarios y equipos                              4-10 </t>
  </si>
  <si>
    <t>Los métodos de depreciación, las vidas útiles y los valores residuales son revisados anualmente y se ajustan si es necesario. </t>
  </si>
  <si>
    <r>
      <t>Otros activos</t>
    </r>
    <r>
      <rPr>
        <sz val="11"/>
        <color rgb="FF000000"/>
        <rFont val="Times New Roman"/>
        <family val="1"/>
      </rPr>
      <t> </t>
    </r>
  </si>
  <si>
    <t>Los otros activos adquiridos por Instituto Geográfico Nacional José Joaquín Hungría Morell (IGN-JJHM), son medidos al costo menos su amortización acumulada y las pérdidas acumuladas por deterioro. Estos corresponden a licencias, programas y software. </t>
  </si>
  <si>
    <r>
      <t>Desembolsos posteriores</t>
    </r>
    <r>
      <rPr>
        <sz val="11"/>
        <color rgb="FF000000"/>
        <rFont val="Times New Roman"/>
        <family val="1"/>
      </rPr>
      <t> </t>
    </r>
  </si>
  <si>
    <t>Los desembolsos posteriores son capitalizados solo cuando aumentan los beneficios económicos futuros incorporados en el activo específico relacionado con dichos desembolsos. </t>
  </si>
  <si>
    <t>Amortización</t>
  </si>
  <si>
    <t>La amortización se calcula sobre el monto depreciable, que corresponde al costo de un activo menos su valor residual. </t>
  </si>
  <si>
    <t>La amortización es reconocida en el resultado sobre la base del método de línea recta.  </t>
  </si>
  <si>
    <t>La vida útil estimada de las licencias, programas y software abarca un período de 5 a 10 años. </t>
  </si>
  <si>
    <t>El método de amortización, la vida útil y el valor residual son revisados anualmente, si existe evidencia de algún cambio y se ajustan, si es necesario. </t>
  </si>
  <si>
    <t>La información contable presentada se refiere a bienes, derechos y obligaciones que poseen valor económico, susceptibles de ser valuados objetivamente en términos monetarios. </t>
  </si>
  <si>
    <t>Nota #7 Efectivo y equivalentes de efectivo.</t>
  </si>
  <si>
    <t>Un detalle del efectivo y equivalente de efectivo al 31 de diciembre del 2023 y 2022 es como sigue:</t>
  </si>
  <si>
    <t xml:space="preserve">                    Descripción                                                                                   </t>
  </si>
  <si>
    <t>Sub cuenta Unica del tesoro 0100206001</t>
  </si>
  <si>
    <t>Sub cuenta Unica del tesoro 7267001001</t>
  </si>
  <si>
    <t>Nota #8  Inventario</t>
  </si>
  <si>
    <t>Un detalle de las cuenta de inventario al 31 de diciembre del 2023 y 2023, es como sigue:</t>
  </si>
  <si>
    <t>Balance Inicial (Materiales y suministros) consumo</t>
  </si>
  <si>
    <t xml:space="preserve">Mas:compra </t>
  </si>
  <si>
    <t>Consumo</t>
  </si>
  <si>
    <t>Inventario final</t>
  </si>
  <si>
    <t xml:space="preserve">                                                                                                    </t>
  </si>
  <si>
    <t>Nota #9  Pagos Anticipados</t>
  </si>
  <si>
    <t>Un detalle de los pagos anticipados al 31 de diciembre del 2023 y 2022, es como sigue:</t>
  </si>
  <si>
    <t>Depositos y  Fianzas</t>
  </si>
  <si>
    <t>Seguro Bienes Muebles</t>
  </si>
  <si>
    <t>Licencias Informaticas</t>
  </si>
  <si>
    <t>Total</t>
  </si>
  <si>
    <t>Fianzas  y depositos</t>
  </si>
  <si>
    <t>Seguros de bienes muebles</t>
  </si>
  <si>
    <t>Licencias de Informatica</t>
  </si>
  <si>
    <t>Costos:</t>
  </si>
  <si>
    <t>Costos de adquisicion</t>
  </si>
  <si>
    <t>Adiciones</t>
  </si>
  <si>
    <t>-</t>
  </si>
  <si>
    <t>Saldo final periodo</t>
  </si>
  <si>
    <t>Depreciacion acumulada al inicio del periodo</t>
  </si>
  <si>
    <t>Cargo del periodo</t>
  </si>
  <si>
    <t>Saldo final del periodo</t>
  </si>
  <si>
    <t>Pagos Anticipado netos</t>
  </si>
  <si>
    <t>Seguros de Bienes muebles</t>
  </si>
  <si>
    <t>Nota #10 Propiedad planta y equipo</t>
  </si>
  <si>
    <t>Un detalle de los activos fijos al 31 de diciembre del 2023 y 2022 es como sigue:</t>
  </si>
  <si>
    <t>Maquinarias y Equipos</t>
  </si>
  <si>
    <t>Mob. Y equipos de ofic.</t>
  </si>
  <si>
    <t>Equipos Transp. Y Otros</t>
  </si>
  <si>
    <t>Costos de Adquisicion 2022</t>
  </si>
  <si>
    <t>Saldo al final del periodo</t>
  </si>
  <si>
    <t>Dep. Acum. Al inicio del periodo</t>
  </si>
  <si>
    <t>Prop. Planta y equipos netos 2023</t>
  </si>
  <si>
    <t>Costos de Adquisicion 2021</t>
  </si>
  <si>
    <t>Prop. Plata y equipos netos 2022</t>
  </si>
  <si>
    <t>Nota #11 Activos Intangibles</t>
  </si>
  <si>
    <t>Un detalle de las partidas de activos intangibles al 31 de diciembre de 2023 y 2022 es como sigue:</t>
  </si>
  <si>
    <t>Costo de Adquisicion Bienes Intagibles (Programas de Software)</t>
  </si>
  <si>
    <t>Saldo al final del Periodo</t>
  </si>
  <si>
    <t xml:space="preserve">Depreciación Acumulada al inicio del Periodo </t>
  </si>
  <si>
    <t>Cargo depreciación del Periodo</t>
  </si>
  <si>
    <t xml:space="preserve">Saldo al final del Periodo </t>
  </si>
  <si>
    <t xml:space="preserve">Activos Intagibles </t>
  </si>
  <si>
    <t xml:space="preserve">Nota del 2022: La diferencia existente entre el reporte del SIAB y lo presentado en los Estados Financieros se debe a registros de licencias de informatica por valor de $388,341.50 que no han sido descargada del sistema, correspondiente a años anteriores. </t>
  </si>
  <si>
    <t xml:space="preserve">Nota#  12 Patrimonio Institucional </t>
  </si>
  <si>
    <t>Un detalle de las partidas del patrimonio institucional al 31 de diciembre de 2023 y 2022 es como sigue:</t>
  </si>
  <si>
    <t>Resultado Positivo (Ahorro) Negativo (Desahorro)</t>
  </si>
  <si>
    <t>Resultados Acumulados</t>
  </si>
  <si>
    <t xml:space="preserve">Nota# 13  Ingresos </t>
  </si>
  <si>
    <t>Un detalle de las partidas de ingresos al 31 de diciembre 2023 y 2022 es como sigue:</t>
  </si>
  <si>
    <t>Transferencias Corrientes del  Gobierno Central</t>
  </si>
  <si>
    <t>Tranferencias de Capital del Gobierno Central</t>
  </si>
  <si>
    <t>Nota# 14 Devolucion de recursos a la CUT de Años anteriores</t>
  </si>
  <si>
    <t>Recargos, Multas y Otros Ingresos</t>
  </si>
  <si>
    <r>
      <rPr>
        <b/>
        <sz val="10"/>
        <color theme="1"/>
        <rFont val="Times New Roman"/>
        <family val="1"/>
      </rPr>
      <t>Nota:</t>
    </r>
    <r>
      <rPr>
        <sz val="10"/>
        <color theme="1"/>
        <rFont val="Times New Roman"/>
        <family val="1"/>
      </rPr>
      <t xml:space="preserve"> Devolucion de la CUT de años anteriores. </t>
    </r>
  </si>
  <si>
    <t xml:space="preserve"> Nota # 15 Sueldos, Salarios y beneficios a empleados</t>
  </si>
  <si>
    <t>Un detalle de las cuentas sueldos, salarios, beneficios a empleados al 31 de diciembre 2023 y 2022 es como sigue:</t>
  </si>
  <si>
    <t xml:space="preserve">Sueldos Fijos                                                                                                 </t>
  </si>
  <si>
    <t>Sueldo al personal contratado</t>
  </si>
  <si>
    <t>Compensacion por Servicios de Seguridad</t>
  </si>
  <si>
    <t>Contribuciones al seguro de salud</t>
  </si>
  <si>
    <t>Contribuciones al seguro de pensiones</t>
  </si>
  <si>
    <t>Contribuciones al seguro riesgos laborales</t>
  </si>
  <si>
    <t>Sueldo Anual No. 13</t>
  </si>
  <si>
    <t>Incentivo por Rendimiento Individual</t>
  </si>
  <si>
    <t>Compensación por cumplimiento de indicadores del MAP</t>
  </si>
  <si>
    <t>Compensacion Extraordinaria anual</t>
  </si>
  <si>
    <t>Gratificaciones por pasantia</t>
  </si>
  <si>
    <t>Prestación laboral por desvinculación</t>
  </si>
  <si>
    <t xml:space="preserve">Vacaciones                                                                                               </t>
  </si>
  <si>
    <t xml:space="preserve"> Nota # 16 Subvenciones y otros pagos de Transferias </t>
  </si>
  <si>
    <t>Becas Nacionales a Empleados</t>
  </si>
  <si>
    <t>Nota# 17 Suministro y materiales para consumo</t>
  </si>
  <si>
    <t>Un detalle de los gastos de suministro y materiales para consumo al  31 de diciembre 2023 y 2022 es como sigue:</t>
  </si>
  <si>
    <t>Alimentos y bebidas</t>
  </si>
  <si>
    <t>Prenda de Vestir</t>
  </si>
  <si>
    <t>Papel de Escritorio</t>
  </si>
  <si>
    <t>Productos de papel y cartón</t>
  </si>
  <si>
    <t>Producto de Artes Graficas</t>
  </si>
  <si>
    <t>Productos de cemento, cal, asbesto, yeso y arcilla</t>
  </si>
  <si>
    <t>Herramientas menores</t>
  </si>
  <si>
    <t>Combustible y lubricantes</t>
  </si>
  <si>
    <t>Pinturas, lacas, barnices, diluyentes y absorbentes para pinturas</t>
  </si>
  <si>
    <t>Otros productos quimicos y conexos</t>
  </si>
  <si>
    <t>Útiles y materiales de limpieza e higiene</t>
  </si>
  <si>
    <t>Útiles de escritorio e informática</t>
  </si>
  <si>
    <t>Útiles de cocina y comedor</t>
  </si>
  <si>
    <t>Productos eléctricos afines</t>
  </si>
  <si>
    <t>Otros Repuestos y accesorios menores</t>
  </si>
  <si>
    <t>Accesorios</t>
  </si>
  <si>
    <t xml:space="preserve">Productos y útiles diversos </t>
  </si>
  <si>
    <t>Sub Total</t>
  </si>
  <si>
    <t xml:space="preserve"> Inventario Consumido</t>
  </si>
  <si>
    <t>Nota:</t>
  </si>
  <si>
    <t>Inventario Cosumido</t>
  </si>
  <si>
    <t>Repuestos</t>
  </si>
  <si>
    <t xml:space="preserve">Nota# 18 Gastos de depreciación y amortización </t>
  </si>
  <si>
    <t>Un detalle de los gastos de depreciación y amortización al  31 de diciembre 2023 y 2022 es como sigue:</t>
  </si>
  <si>
    <t>Depreciacion maquinarias y equipos</t>
  </si>
  <si>
    <t>Depreciacion mobiliario y equipo de oficina</t>
  </si>
  <si>
    <t>Depreciacion equipos de transporte y otros</t>
  </si>
  <si>
    <t>Amortización Bienes Intangibles</t>
  </si>
  <si>
    <t xml:space="preserve">Nota# 19 Otros gastos </t>
  </si>
  <si>
    <t>Un detalle de otros gastos  al  31 de diciembre de 2023 y 2022 es como sigue:</t>
  </si>
  <si>
    <t>Teléfonos local</t>
  </si>
  <si>
    <t>Servicio de internet y television</t>
  </si>
  <si>
    <t>Energía eléctrica</t>
  </si>
  <si>
    <t>Publicidad y propaganda</t>
  </si>
  <si>
    <t>Viáticos dentro del país</t>
  </si>
  <si>
    <t>Alquileres y renta de edificio</t>
  </si>
  <si>
    <t>Alquiler y renta de equipos</t>
  </si>
  <si>
    <t>Seguro de bienes muebles</t>
  </si>
  <si>
    <t>Licencias informáticas</t>
  </si>
  <si>
    <t>Seguro de personas</t>
  </si>
  <si>
    <t>Reparaciones y mantenimientos menores en edificaciones</t>
  </si>
  <si>
    <t>Mant. y Rep., Servicios de pintura y sus derivados</t>
  </si>
  <si>
    <t>Mant. y Rep. Eq. De Tracción y Elevación</t>
  </si>
  <si>
    <t>Fumigación</t>
  </si>
  <si>
    <t>Eventos Generales</t>
  </si>
  <si>
    <t>Servicios Jurídico</t>
  </si>
  <si>
    <t>Servicios capacitación</t>
  </si>
  <si>
    <t>Servicios Profesionales</t>
  </si>
  <si>
    <t>Servicios de alimentación</t>
  </si>
  <si>
    <t>Impuestos</t>
  </si>
  <si>
    <t>Total Gastos</t>
  </si>
  <si>
    <t>INSTITUTO GEOGRÁFICO NACIONAL JOSÉ JOAQUÌN HUNGRÌA MORELL</t>
  </si>
  <si>
    <t>INVENTARIO DE ALMACÉN</t>
  </si>
  <si>
    <t>AL 31  DE DICIEMBRE  2023</t>
  </si>
  <si>
    <t>VALORES EN RD $</t>
  </si>
  <si>
    <t xml:space="preserve">MATERIALES Y SUMINISTRO DE OFICINA </t>
  </si>
  <si>
    <t>ITEM</t>
  </si>
  <si>
    <t>FECHA ADQ.</t>
  </si>
  <si>
    <t>FECHA  REG.</t>
  </si>
  <si>
    <t>CÓDIGO</t>
  </si>
  <si>
    <t>DESCRIPCIÓN</t>
  </si>
  <si>
    <t xml:space="preserve">Cantidad Actual </t>
  </si>
  <si>
    <t xml:space="preserve">Inventario Actual </t>
  </si>
  <si>
    <t>MEDIDA</t>
  </si>
  <si>
    <t>CANTIDAD</t>
  </si>
  <si>
    <t>UNITARIO</t>
  </si>
  <si>
    <t>ITBIS 18%</t>
  </si>
  <si>
    <t>CON ITBIS</t>
  </si>
  <si>
    <t>TOTAL</t>
  </si>
  <si>
    <t xml:space="preserve">Salida </t>
  </si>
  <si>
    <t>FACTURA</t>
  </si>
  <si>
    <t>ALM-ARC-001</t>
  </si>
  <si>
    <t>ARCHIVO ACORDEON PENDAFLEX 8 1/2*11</t>
  </si>
  <si>
    <t>UNIDAD</t>
  </si>
  <si>
    <t>ALM-BAN-002</t>
  </si>
  <si>
    <t xml:space="preserve">BANDEJA DE METAL PARA ESCRITORIO </t>
  </si>
  <si>
    <t>B1500000003</t>
  </si>
  <si>
    <t>ALM-BAN-001</t>
  </si>
  <si>
    <t>BANDEJA DE METAL PARA ESCRITORIO (2/1)</t>
  </si>
  <si>
    <t>27/11/2020</t>
  </si>
  <si>
    <t>ALM-BOR-001</t>
  </si>
  <si>
    <t>BORRA DE LECHE PEQUEÑA</t>
  </si>
  <si>
    <t>B1500000127</t>
  </si>
  <si>
    <t>ALM-CAJ/C-002</t>
  </si>
  <si>
    <t>CAJA DE CARTON PARA ARCHIVO MUERTO 8 1/2*11</t>
  </si>
  <si>
    <t>ALM-CART-001</t>
  </si>
  <si>
    <t>CARATULAS DE CD</t>
  </si>
  <si>
    <t>ALM-CAR-001</t>
  </si>
  <si>
    <t>CARPETA NUSTAR 1" BLANCA</t>
  </si>
  <si>
    <t>CARPETA POINTER  3 ARGOLLAS  NO. 1(BLANCA).</t>
  </si>
  <si>
    <t>ALM-CAR-002</t>
  </si>
  <si>
    <t>CARPETA POINTER  3 ARGOLLAS  NO. 1.5 (BLANCA).</t>
  </si>
  <si>
    <t>ALM-CAR-003</t>
  </si>
  <si>
    <t>CARPETA POINTER  3 ARGOLLAS  NO. 2 (BLANCA).</t>
  </si>
  <si>
    <t>ALM-CAR-004</t>
  </si>
  <si>
    <t>CARPETA POINTER  3 ARGOLLAS  NO. 3(BLANCA).</t>
  </si>
  <si>
    <t>ALM-CAR-005</t>
  </si>
  <si>
    <t>CARPETA POINTER  3 ARGOLLAS  NO. 4(BLANCA).</t>
  </si>
  <si>
    <t>CARPETA POINTER 1. 5" BLANCA</t>
  </si>
  <si>
    <t>ALM-CAR-006</t>
  </si>
  <si>
    <t>CARPETAS  5 " BLANCA</t>
  </si>
  <si>
    <t>B1500001080</t>
  </si>
  <si>
    <t>CARPETAS NUSTAR 1.5" BLANCA</t>
  </si>
  <si>
    <t>CARPETAS NUSTAR 3" BLANCA</t>
  </si>
  <si>
    <t>ALM-CARM-001</t>
  </si>
  <si>
    <t>CARTUCHO DE MINA PUNTO 7</t>
  </si>
  <si>
    <t>ALM-CAR/P-002</t>
  </si>
  <si>
    <t>CARTUCHO PLOTER PFI-107 BK</t>
  </si>
  <si>
    <t>ALM-CAR/P-003</t>
  </si>
  <si>
    <t>CARTUCHO PLOTER PFI-107 C</t>
  </si>
  <si>
    <t>ALM-CAR/P-004</t>
  </si>
  <si>
    <t>CARTUCHO PLOTER PFI-107 M</t>
  </si>
  <si>
    <t>ALM-CAR/P-001</t>
  </si>
  <si>
    <t>CARTUCHO PLOTER PFI-107 MBK</t>
  </si>
  <si>
    <t>ALM-CAR/P-005</t>
  </si>
  <si>
    <t>CARTUCHO PLOTER PFI-107 Y</t>
  </si>
  <si>
    <t>CARTUCHO HP 122CH561HL</t>
  </si>
  <si>
    <t>ALM-CD-001</t>
  </si>
  <si>
    <t>CD-MAXELL CON CARATULA</t>
  </si>
  <si>
    <t>ALM-CD-002</t>
  </si>
  <si>
    <t>CD-MAXELL CON CARATULA   (CAJA 10/1)</t>
  </si>
  <si>
    <t>ALM-CER-001</t>
  </si>
  <si>
    <t>CERA PARA CONTAR</t>
  </si>
  <si>
    <t>ALM-CIN-003</t>
  </si>
  <si>
    <t>CINTA TRANSPARENTE 3/4</t>
  </si>
  <si>
    <t>ALM-CIN-002</t>
  </si>
  <si>
    <t>CINTA TRANSPARENTE FROZEN</t>
  </si>
  <si>
    <t>ALM-CLI-003</t>
  </si>
  <si>
    <t>CLIPS BILLETEROS ARTESCO (25 MM)</t>
  </si>
  <si>
    <t>CAJA</t>
  </si>
  <si>
    <t>ALM-CLI-002</t>
  </si>
  <si>
    <t>CLIPS BILLETEROS ARTESCO (41 MM)</t>
  </si>
  <si>
    <t>ALM-CLI-001</t>
  </si>
  <si>
    <t>CLIPS BILLETEROS ARTESCO (51 MM)</t>
  </si>
  <si>
    <t>ALM-CLI-004</t>
  </si>
  <si>
    <t>CLIPS GRANDE 50MM 10/1</t>
  </si>
  <si>
    <t>CLIPS GRANDE VELMER</t>
  </si>
  <si>
    <t>ALM-CLI-005</t>
  </si>
  <si>
    <t>CLIPS PEQUEÑO 33 MM 10/1</t>
  </si>
  <si>
    <t>CLIPS PEQUEÑO VELMER</t>
  </si>
  <si>
    <t>ALM-CONT-002</t>
  </si>
  <si>
    <t xml:space="preserve">CONTROL PROYECTOR </t>
  </si>
  <si>
    <t>ALM-COR-001</t>
  </si>
  <si>
    <t>CORRECTOR LIQUIDO TIPO LAPIZ POINTER</t>
  </si>
  <si>
    <t>ALM-CUADER-001</t>
  </si>
  <si>
    <t>CUADERNOS COCIDOS 200 PAGINAS</t>
  </si>
  <si>
    <t>ALM-DVD-001</t>
  </si>
  <si>
    <t>DVD CON CARATULA</t>
  </si>
  <si>
    <t>ALM-ENC-001</t>
  </si>
  <si>
    <t xml:space="preserve">ENCUADERNADORA ESPIRAL CONTINUO </t>
  </si>
  <si>
    <t>B1500000327</t>
  </si>
  <si>
    <t>ALM-ESP-001</t>
  </si>
  <si>
    <t>ESPIRALES NORMALES (12MM ) (1/2)</t>
  </si>
  <si>
    <t>100/1</t>
  </si>
  <si>
    <t>ALM-ESP-002</t>
  </si>
  <si>
    <t>ESPIRALES NORMALES (16MM ) (5/8)</t>
  </si>
  <si>
    <t>ALM-FEL-002</t>
  </si>
  <si>
    <t xml:space="preserve">FELPA AZUL </t>
  </si>
  <si>
    <t>ALM-FEL-003</t>
  </si>
  <si>
    <t>FELPA AZUL ONYX CAJA 12/1</t>
  </si>
  <si>
    <t>FELPA NEGRA UNI-BALL</t>
  </si>
  <si>
    <t>FELPA ROJA</t>
  </si>
  <si>
    <t>ALM-FOL-001</t>
  </si>
  <si>
    <t>FOLDER MANILA PLUS 8 1/2*11</t>
  </si>
  <si>
    <t>CAJA 100/1</t>
  </si>
  <si>
    <t>FOLDER MANILA PLUS 8 1/2*11 100/0</t>
  </si>
  <si>
    <t>FOLDER MANILA PLUS 8 1/2*11 100/1</t>
  </si>
  <si>
    <t>FOLDER MANILA PLUS 8 1/2*11 AMARILLO 100/1</t>
  </si>
  <si>
    <t>ALM-FOL-003</t>
  </si>
  <si>
    <t>FOLDER MANILA PLUS 8 1/2*11 ROJO 100/1</t>
  </si>
  <si>
    <t>ALM-FOL-004</t>
  </si>
  <si>
    <t>FOLDER MANILA PLUS 8 1/2*11 ROSADO 100/1</t>
  </si>
  <si>
    <t>ALM-FOL-002</t>
  </si>
  <si>
    <t>FOLDER MANILA PLUS 8 1/2*11 VERDE 100/1</t>
  </si>
  <si>
    <t>FOLDER MANILA PLUS 8 1/2*13</t>
  </si>
  <si>
    <t>FOLDER MANILA PLUS 8 1/2*14</t>
  </si>
  <si>
    <t>FOLDER MANILA PLUS 8 1/2*14   100/1</t>
  </si>
  <si>
    <t>FOLDER PARTITION (2 DIVISIONES)</t>
  </si>
  <si>
    <t>CAJA 50/1</t>
  </si>
  <si>
    <t>ALM-FOL-005</t>
  </si>
  <si>
    <t>FOLDERS COLORES SURTIDOS (100/1)</t>
  </si>
  <si>
    <t>FOLDERS COLORES SURTIDOS (125/1)</t>
  </si>
  <si>
    <t>CAJA 125/1</t>
  </si>
  <si>
    <t>ALM-GAN-001</t>
  </si>
  <si>
    <t>GANCHOS PARA FOLDER VELMER</t>
  </si>
  <si>
    <t>ALM-GRAP-003</t>
  </si>
  <si>
    <t>GRAPADORA ESTANDAR ALTESCO</t>
  </si>
  <si>
    <t>ALM-GRA-001</t>
  </si>
  <si>
    <t>GRAPAS 3/8 ARTESCO (1000/1)</t>
  </si>
  <si>
    <t>ALM-GRA-002</t>
  </si>
  <si>
    <t>GRAPAS ESTANDAR VELMER (5000/1)</t>
  </si>
  <si>
    <t>ALM-GULL-002</t>
  </si>
  <si>
    <t>GUILLOTINA</t>
  </si>
  <si>
    <t>B1500000007</t>
  </si>
  <si>
    <t>ALM-HOJA-001</t>
  </si>
  <si>
    <t>HOJAS DE FOAMI 8 1/2* 11</t>
  </si>
  <si>
    <t>ALM-LAB-003</t>
  </si>
  <si>
    <t>LABELS PARA CD</t>
  </si>
  <si>
    <t>PAQUETE</t>
  </si>
  <si>
    <t>ALM-LAB-004</t>
  </si>
  <si>
    <t>LABELS PARA FOLDER</t>
  </si>
  <si>
    <t>ALM-LAP-002</t>
  </si>
  <si>
    <t>LAPICERO AZUL</t>
  </si>
  <si>
    <t xml:space="preserve">PAQUETE </t>
  </si>
  <si>
    <t>ALM-LAP-001</t>
  </si>
  <si>
    <t>LAPICERO NEGRO CAJA 12/1</t>
  </si>
  <si>
    <t>ALM-LAP-003</t>
  </si>
  <si>
    <t>LAPICERO ROJO</t>
  </si>
  <si>
    <t>ALM-LAP-0045</t>
  </si>
  <si>
    <t>LAPIZ DE CARBON NO. 02 STUDIMARK CAJA 12/1</t>
  </si>
  <si>
    <t>ALM-LEY-001</t>
  </si>
  <si>
    <t>LEY 208-14 5.5 *8.5  32 PÁGINAS</t>
  </si>
  <si>
    <t>B1500000188</t>
  </si>
  <si>
    <t>ALM-LIB-001</t>
  </si>
  <si>
    <t>LIBRETA ARTESCO AMARILLA (8.5*11)</t>
  </si>
  <si>
    <t>B1500000950</t>
  </si>
  <si>
    <t>ALM-LIB-002</t>
  </si>
  <si>
    <t>LIBRETA LEGAL PAD AMARILLA (5*8)</t>
  </si>
  <si>
    <t>ALM-LIB-R-001</t>
  </si>
  <si>
    <t>LIBROS RECORD</t>
  </si>
  <si>
    <t>ALM-MAR-001</t>
  </si>
  <si>
    <t>MARCADOR DE PIZARRA AZUL</t>
  </si>
  <si>
    <t>ALM-MAR-002</t>
  </si>
  <si>
    <t>MARCADOR DE PIZARRA ROJO</t>
  </si>
  <si>
    <t>ALM-MAR-004</t>
  </si>
  <si>
    <t>MARCADOR DE PIZZARRA VERDE</t>
  </si>
  <si>
    <t>MARCADOR PERMANENTE AZUL</t>
  </si>
  <si>
    <t>ALM-MAR-003</t>
  </si>
  <si>
    <t>MARCADOR PERMANENTE NEGRO</t>
  </si>
  <si>
    <t>ALM-MAR-005</t>
  </si>
  <si>
    <t>MARCADOR PERMANENTE ROJO</t>
  </si>
  <si>
    <t>MARCADOR SHARPIE (MIXTOS)</t>
  </si>
  <si>
    <t>MARCADOR SHARPIE AZUL</t>
  </si>
  <si>
    <t>MARCADOR SHARPIE PUNTA FINA</t>
  </si>
  <si>
    <t>ALM-MEM-002</t>
  </si>
  <si>
    <t>MEMORIA USB KINGSTONG (64GB)</t>
  </si>
  <si>
    <t>ALM-MOUSP-001</t>
  </si>
  <si>
    <t>MOUSE PAD,ARGOM</t>
  </si>
  <si>
    <t>ALM-PAP-001</t>
  </si>
  <si>
    <t>PAPEL  DE HILO</t>
  </si>
  <si>
    <t>RESMA</t>
  </si>
  <si>
    <t>15/12/2020</t>
  </si>
  <si>
    <t>ALM-PAB-004</t>
  </si>
  <si>
    <t>PAPEL BOND20   8 1/2 X 11 CAJA10/1</t>
  </si>
  <si>
    <t>B1500000820</t>
  </si>
  <si>
    <t>ALM-PAB-002</t>
  </si>
  <si>
    <t>ROLLO PAPEL BOND PARA PLOTER 24 ABBY</t>
  </si>
  <si>
    <t>B1500000223</t>
  </si>
  <si>
    <t>ALM-PAB-003</t>
  </si>
  <si>
    <t>PAPEL BOND 20 11X17</t>
  </si>
  <si>
    <t>ALM-PAPEL-001</t>
  </si>
  <si>
    <t>PAPEL SUMADORA EN ROLLO 2 1/4, ANNY</t>
  </si>
  <si>
    <t>ALM-PEN-002</t>
  </si>
  <si>
    <t>PENDAFLEX 8 1/2X11 CAJA</t>
  </si>
  <si>
    <t>CAJA 25/1</t>
  </si>
  <si>
    <t>ALM-PER-001</t>
  </si>
  <si>
    <t>PERFORADORA DE 2 HOYOS</t>
  </si>
  <si>
    <t>ALM-PILA-003</t>
  </si>
  <si>
    <t>PILAS DURACEL AA</t>
  </si>
  <si>
    <t>ALM-PILA-001</t>
  </si>
  <si>
    <t>PILAS DURACEL AAA</t>
  </si>
  <si>
    <t>ALM-POT-C-001</t>
  </si>
  <si>
    <t>PORTA CLIPS</t>
  </si>
  <si>
    <t>ALM-POT/L-002</t>
  </si>
  <si>
    <t>PORTA LÁPIZ DE METAL, NEGRO</t>
  </si>
  <si>
    <t>ALM-POT/L-001</t>
  </si>
  <si>
    <t>PORTA LÁPIZ METAL REDONDO</t>
  </si>
  <si>
    <t>ALM-POT/R-002</t>
  </si>
  <si>
    <t>PORTA REVISTA</t>
  </si>
  <si>
    <t>ALM-POTTP-001</t>
  </si>
  <si>
    <t>PORTA TAPE</t>
  </si>
  <si>
    <t>ALM-POTENC-001</t>
  </si>
  <si>
    <t>PORTADAS DE ENCUADERNAR</t>
  </si>
  <si>
    <t>ALM-POS-002</t>
  </si>
  <si>
    <t>POST-IT  (3*3) (7/1)</t>
  </si>
  <si>
    <t>ALM-POS-001</t>
  </si>
  <si>
    <t xml:space="preserve">POST-IT 2/8 * 17 BANDERITAS </t>
  </si>
  <si>
    <t>ALM-POS-004</t>
  </si>
  <si>
    <t>POST-IT DE FIRMA STICK IN (125/1)</t>
  </si>
  <si>
    <t>ALM-POS-003</t>
  </si>
  <si>
    <t>POST-IT DE FIRMA STICK IN (5/1)</t>
  </si>
  <si>
    <t>POST-IT DE FIRMA STICK IN (50/1)</t>
  </si>
  <si>
    <t>POST-IT NEON 2/*2 MEMO TIP  (8/1)</t>
  </si>
  <si>
    <t>POST-IT NEON 2/*2 MEMO TIP (8/1)</t>
  </si>
  <si>
    <t>PROTECTORES DE HOJA (100/1)</t>
  </si>
  <si>
    <t>ALM-PRO-001</t>
  </si>
  <si>
    <t>ALM-PUN-001</t>
  </si>
  <si>
    <t>PUNTERO LASER (KLIPXTREME, PRESENTADOR WIRELES)</t>
  </si>
  <si>
    <t>PUNTERO LASER / WIRELESS</t>
  </si>
  <si>
    <t>ALM-REG-001</t>
  </si>
  <si>
    <t>REGLA ESCALA POINTER</t>
  </si>
  <si>
    <t>REGLA PLASTICA  (1M)</t>
  </si>
  <si>
    <t>ALM-RES-001</t>
  </si>
  <si>
    <t>RESALTADOR AMARILLO</t>
  </si>
  <si>
    <t>RESALTADOR AMARILLO PUNTA ANCHA PELIKAN CAJA 10/1</t>
  </si>
  <si>
    <t>ALM-RES-002</t>
  </si>
  <si>
    <t>RESALTADOR AMARILLO PUNTA FINA PELIKAN CAJA 10/1</t>
  </si>
  <si>
    <t>ALM-RES-003</t>
  </si>
  <si>
    <t>RESALTADOR AZUL  PUNTA FINA PELIKAN CAJA 10/1</t>
  </si>
  <si>
    <t>ALM-RES-004</t>
  </si>
  <si>
    <t>RESALTADOR NARANJA PUNTA FINA PELIKAN CAJA 10/1</t>
  </si>
  <si>
    <t>ALM-RES-005</t>
  </si>
  <si>
    <t>RESALTADOR ROSADA PUNTA FINA PELIKAN CAJA 10/1</t>
  </si>
  <si>
    <t>RESALTADOR VERDE</t>
  </si>
  <si>
    <t>ALM-RES-006</t>
  </si>
  <si>
    <t>RESALTADOR VERDE PUNTA FINA PELIKAN CAJA 10/2</t>
  </si>
  <si>
    <t>ALM-SAP-001</t>
  </si>
  <si>
    <t>SACAPUNTAS</t>
  </si>
  <si>
    <t>ALM-SACAG-002</t>
  </si>
  <si>
    <t>SACAGRAPA</t>
  </si>
  <si>
    <t>SACAPUNTAS ELECTRICOS</t>
  </si>
  <si>
    <t>ALM-SEP-001</t>
  </si>
  <si>
    <t xml:space="preserve">SEPARADORES DE CARPETA </t>
  </si>
  <si>
    <t>PAQUETE 5/1</t>
  </si>
  <si>
    <t>SEPARADORES DE CARPETA (5/1)</t>
  </si>
  <si>
    <t>PAQUETES</t>
  </si>
  <si>
    <t xml:space="preserve">SEPARADORES PLASTICOS </t>
  </si>
  <si>
    <t>PAQUETE5/1</t>
  </si>
  <si>
    <t>ALM-SOB-001</t>
  </si>
  <si>
    <t>SOBRE MANILLA 10 X 15</t>
  </si>
  <si>
    <t>SOBRE MANILLA 10*13 CAJA 500/1</t>
  </si>
  <si>
    <t>ALM-SOB-003</t>
  </si>
  <si>
    <t>SOBRE MANILLA 10X 13</t>
  </si>
  <si>
    <t>ALM-SOB-002</t>
  </si>
  <si>
    <t>SOBRE MANILLA 6.5*9.5 CAJA 500/1</t>
  </si>
  <si>
    <t>SOBRE MANILLA 6X9</t>
  </si>
  <si>
    <t>SOBRE MANILLA 9*12 CAJA 500/1</t>
  </si>
  <si>
    <t>ALM-TAB-002</t>
  </si>
  <si>
    <t>TABLILLA PARA HOJA 8 1/2 X11</t>
  </si>
  <si>
    <t>ALM-TJE-01</t>
  </si>
  <si>
    <t>TARJETERO DE ESCRITORIO</t>
  </si>
  <si>
    <t>ALM-TTL-002</t>
  </si>
  <si>
    <t>TARJETEROS TIPO LIBRO</t>
  </si>
  <si>
    <t>ALM-TIJ-001</t>
  </si>
  <si>
    <t>TIJERA</t>
  </si>
  <si>
    <t>ALM-TIN-001</t>
  </si>
  <si>
    <t>TINTA PARA SELLOS</t>
  </si>
  <si>
    <t>ALM-TENS-001</t>
  </si>
  <si>
    <t>TINTA PARA SUMADORA</t>
  </si>
  <si>
    <t>ALM-TON-002</t>
  </si>
  <si>
    <t>TONER CF401A  CYAN</t>
  </si>
  <si>
    <t>ALM-TON-003</t>
  </si>
  <si>
    <t>TONER CF402A YELLOW</t>
  </si>
  <si>
    <t>TONER CF410  A NEGRO</t>
  </si>
  <si>
    <t>ALM-TONC-001</t>
  </si>
  <si>
    <t>TONER CF500 A NEGRO</t>
  </si>
  <si>
    <t>B1500000005</t>
  </si>
  <si>
    <t>ALM-TONC-002</t>
  </si>
  <si>
    <t>TONER CF501 A CYAN</t>
  </si>
  <si>
    <t>ALM-TONC-003</t>
  </si>
  <si>
    <t>TONER CF502A YELLOW</t>
  </si>
  <si>
    <t>ALM-TONC-004</t>
  </si>
  <si>
    <t>TONER CF503A MAGENTA</t>
  </si>
  <si>
    <t>ALM-THP-001</t>
  </si>
  <si>
    <t>TONER HP CE310A</t>
  </si>
  <si>
    <t>ALM-THP-003</t>
  </si>
  <si>
    <t>TONER HP CE312A YELLOW</t>
  </si>
  <si>
    <t>ALM-THP-004</t>
  </si>
  <si>
    <t>TONER HP CE313A MAGENTA</t>
  </si>
  <si>
    <t>ALM-UNH-002</t>
  </si>
  <si>
    <t xml:space="preserve">UHU EN PASTA </t>
  </si>
  <si>
    <t>ALM-UNH-001</t>
  </si>
  <si>
    <t>UHU LIQUIDO</t>
  </si>
  <si>
    <t xml:space="preserve">COCINA </t>
  </si>
  <si>
    <t>ALM-BANDEJAS-001</t>
  </si>
  <si>
    <t>BANDEJA DE METAL 14*9</t>
  </si>
  <si>
    <t xml:space="preserve">UNIDAD </t>
  </si>
  <si>
    <t>B1500000278</t>
  </si>
  <si>
    <t>ALM-BANDEJAS-003</t>
  </si>
  <si>
    <t>BANDEJA DE METAL 16*13</t>
  </si>
  <si>
    <t>21/12/202</t>
  </si>
  <si>
    <t>ALM-BANDEJAS-002</t>
  </si>
  <si>
    <t>BANDEJA DE METAL 16*9</t>
  </si>
  <si>
    <t>BANDEJA 14*9 ALUMINIO INOXIDABLE</t>
  </si>
  <si>
    <t>B1500000235</t>
  </si>
  <si>
    <t>BANDEJA 16*9 ALUMINIO INOXIDABLE</t>
  </si>
  <si>
    <t>ALM-BAN-003</t>
  </si>
  <si>
    <t>BANDEJA 18*13 ALUMINIO INOXIDABLE</t>
  </si>
  <si>
    <t>ALM-CHALECO-001</t>
  </si>
  <si>
    <t>CHALECO REFLECTOR BOLSILLO NARANJA AMARILLO</t>
  </si>
  <si>
    <t>B1500000158</t>
  </si>
  <si>
    <t>ALM-CHALECO-002</t>
  </si>
  <si>
    <t>CHALECODE SEGURIDAD C/6 BOLSILLOS</t>
  </si>
  <si>
    <t>ALM-CUCHARAS-001</t>
  </si>
  <si>
    <t>CUCHARAS DE METAL</t>
  </si>
  <si>
    <t>B1500000266</t>
  </si>
  <si>
    <t xml:space="preserve">CUCHARAS PEQUEÑAS DE METAL PARA CAFÉ </t>
  </si>
  <si>
    <t>ALM-CUCHILLO-001</t>
  </si>
  <si>
    <t>CUCHILLO DE METAL</t>
  </si>
  <si>
    <t>ALM-GCF-002</t>
  </si>
  <si>
    <t>GRECA 1 TAZA</t>
  </si>
  <si>
    <t>ALM-GCF-001</t>
  </si>
  <si>
    <t>GRECA 24 TAZA</t>
  </si>
  <si>
    <t>ALM-HEL-001</t>
  </si>
  <si>
    <t>HIELERA</t>
  </si>
  <si>
    <t>ALM-HOR-002</t>
  </si>
  <si>
    <t>HORNILLA INDUSTRIAL</t>
  </si>
  <si>
    <t>ALM-INDIVIDUALES -001</t>
  </si>
  <si>
    <t>INDIVIDUALES PLÁSTICOS</t>
  </si>
  <si>
    <t>31/12/219</t>
  </si>
  <si>
    <t>ALM-TAZA-002</t>
  </si>
  <si>
    <t>TAZA CAFÉ 130CL</t>
  </si>
  <si>
    <t>ALM-TAZA-001</t>
  </si>
  <si>
    <t>TAZA DE CAFÉ PORCELANA</t>
  </si>
  <si>
    <t>ALM-TENEDOR-001</t>
  </si>
  <si>
    <t>TENEDOR DE METAL</t>
  </si>
  <si>
    <t>ALM-VASO-001</t>
  </si>
  <si>
    <t>VASO NO. 10 DESECHABLES</t>
  </si>
  <si>
    <t>ALM-ZAF-001</t>
  </si>
  <si>
    <t>ZAFACÓN CON TAPA</t>
  </si>
  <si>
    <t>ALM-BANDEJA-001</t>
  </si>
  <si>
    <t>BANDEJAS DE ALUMINIO DESECHABLE 2 LIB</t>
  </si>
  <si>
    <t>B1500000536</t>
  </si>
  <si>
    <t>ALM-BANDEJA-002</t>
  </si>
  <si>
    <t>BANDEJAS DE ALUMINIO DESECHABLE 1.5 LIB</t>
  </si>
  <si>
    <t>ALM-BANDEJA-003</t>
  </si>
  <si>
    <t>BANDEJAS DE ALUMINIO DESECHABLE 1 LIB</t>
  </si>
  <si>
    <t>ALM-BANDEJA-004</t>
  </si>
  <si>
    <t>BANDEJAS PC DESECLABLE C/TAPA PICADERA 100/1</t>
  </si>
  <si>
    <t>ALM-VASOS-001</t>
  </si>
  <si>
    <t>VASO NO. 10 ONZ. DESECHABLES BIO  50/1</t>
  </si>
  <si>
    <t>ALM-VASOS-002</t>
  </si>
  <si>
    <t>VASO NO. 07 ONZ. DESECHABLES 50/1</t>
  </si>
  <si>
    <t>ALM-VASOS-006</t>
  </si>
  <si>
    <t>VASO NO. 06 ONZ. DESECHABLES 50/1</t>
  </si>
  <si>
    <t>ALM-VASOS-003</t>
  </si>
  <si>
    <t>VASO NO. 04 ONZ. DESECHABLES 50/1</t>
  </si>
  <si>
    <t>ALM-AZUCAR-001</t>
  </si>
  <si>
    <t xml:space="preserve">PAQ. AZUCAR CREMA 5 LIBRA </t>
  </si>
  <si>
    <t>B1500000300</t>
  </si>
  <si>
    <t>ALM-AZUCAR -002</t>
  </si>
  <si>
    <t xml:space="preserve">PAQ.AZUCAR ESPLENDA 100/1 </t>
  </si>
  <si>
    <t>ALM-AZUCAR -003</t>
  </si>
  <si>
    <t xml:space="preserve">PAQ.AZUCAR CREMA 500/1 </t>
  </si>
  <si>
    <t>ALM-CHOCOLATE-01</t>
  </si>
  <si>
    <t>CAJA DE CHOCOLATE 30/1</t>
  </si>
  <si>
    <t>B150000300</t>
  </si>
  <si>
    <t>ALM-MALAGUETA-001</t>
  </si>
  <si>
    <t>PAQ. DE MALAGUETA ENTERA 9 ONZ</t>
  </si>
  <si>
    <t>ALM-CANELA-001</t>
  </si>
  <si>
    <t>PAQ. CANELA ENTERA 9 ONZ</t>
  </si>
  <si>
    <t>ALM-SALMOLIDA-001</t>
  </si>
  <si>
    <t>FRASCO DE SAL MOLIDA 510G</t>
  </si>
  <si>
    <t>ALM-CIRUELA PASA-001</t>
  </si>
  <si>
    <t>FRASCO CIRUELA PASAS S/ SEMILLAS</t>
  </si>
  <si>
    <t>ALM-CAFÉ-001</t>
  </si>
  <si>
    <t>CAFÉ MOLIDO EN PAQUETE DE UNA LIBRA</t>
  </si>
  <si>
    <t>UNIDAS</t>
  </si>
  <si>
    <t>B1500000213</t>
  </si>
  <si>
    <t>ALM-TE-005</t>
  </si>
  <si>
    <t>TE FRIO</t>
  </si>
  <si>
    <t>ALM-TE-001</t>
  </si>
  <si>
    <t>TE BOLSITAS RASPBERRY Y STRAWBWRY</t>
  </si>
  <si>
    <t>ALM-TE-002</t>
  </si>
  <si>
    <t>TE BOLSITAS FRUTOS ROJO</t>
  </si>
  <si>
    <t>TE BOLSITAS JENJIBRE Y LIMON</t>
  </si>
  <si>
    <t>ALM-TE-003</t>
  </si>
  <si>
    <t>TE BOLSITAS FRUTOS MANSANILLA</t>
  </si>
  <si>
    <t>MATERIALES DE LIMPIEZA</t>
  </si>
  <si>
    <t>ALM-AMB-002</t>
  </si>
  <si>
    <t>AMBIENTADOR MANUAL</t>
  </si>
  <si>
    <t>B1500000884</t>
  </si>
  <si>
    <t>ALM-BRILLO-001</t>
  </si>
  <si>
    <t>BRILLO VERDE ESPONJA SCOTCH BRITE 3M</t>
  </si>
  <si>
    <t>B1500001072</t>
  </si>
  <si>
    <t>ALM-FUNDA-003</t>
  </si>
  <si>
    <t>FUNDAS 55 GL/L FARDO 100/1 CALIBRE 182</t>
  </si>
  <si>
    <t>FARDO</t>
  </si>
  <si>
    <t>ALM-GEL-002</t>
  </si>
  <si>
    <t>GEL ANTIBACTERIAL</t>
  </si>
  <si>
    <t>B1500000053</t>
  </si>
  <si>
    <t>ALM-GUA-001</t>
  </si>
  <si>
    <t>GUANTES DESECHABLES LATEX (S,M,L)</t>
  </si>
  <si>
    <t>B1500000010</t>
  </si>
  <si>
    <t>ALM-JAB-003</t>
  </si>
  <si>
    <t>JABON DE CUABA</t>
  </si>
  <si>
    <t>GL</t>
  </si>
  <si>
    <t>B1500002734</t>
  </si>
  <si>
    <t>ALM-JAB-004</t>
  </si>
  <si>
    <t>JABÓN LIQUIDO DE MANOS</t>
  </si>
  <si>
    <t>ALM-LAV-002</t>
  </si>
  <si>
    <t>LAVAPLATOS LIQUIDO</t>
  </si>
  <si>
    <t>GALON</t>
  </si>
  <si>
    <t>ALM-LAV-001</t>
  </si>
  <si>
    <t>ALM-LIMP-001</t>
  </si>
  <si>
    <t xml:space="preserve">LIMPIA CRISTALES </t>
  </si>
  <si>
    <t>ALM-SERVILL-001</t>
  </si>
  <si>
    <t>SERVILLETAS PAQ. 500/1 FARDO</t>
  </si>
  <si>
    <t>ALM-PAH-001</t>
  </si>
  <si>
    <t>PAPEL HIGIENICO 24/1</t>
  </si>
  <si>
    <t>B1500000339</t>
  </si>
  <si>
    <t>ALM-PAH-002</t>
  </si>
  <si>
    <t>PAPEL HIGIENICO 30/1</t>
  </si>
  <si>
    <t>ALM-PAT-002</t>
  </si>
  <si>
    <t>PAPEL TOALLA FAMILIA 6/1</t>
  </si>
  <si>
    <t>ALM-SET-003</t>
  </si>
  <si>
    <t>SET HERRAMIENTAS VARIAS</t>
  </si>
  <si>
    <t>JUEGO</t>
  </si>
  <si>
    <t xml:space="preserve">ALM-SUA-001 </t>
  </si>
  <si>
    <t>SUAPER NO.28</t>
  </si>
  <si>
    <t>B1500000322</t>
  </si>
  <si>
    <t>ALM-SUA-002</t>
  </si>
  <si>
    <t>SUAPER NO.32</t>
  </si>
  <si>
    <t>ALM-DESINF-002</t>
  </si>
  <si>
    <t>DESINFECTANTE EN SPRAY LYSOL 19 ONZ</t>
  </si>
  <si>
    <t>B1500003204</t>
  </si>
  <si>
    <t>DESINFECTANTE MISTOLIN GALONES LINO FRESCO</t>
  </si>
  <si>
    <t>ALM-DESINF-003</t>
  </si>
  <si>
    <t>DESINFECTANTE MISTOLIN GALONES LINO FRESCO/LAVANDA</t>
  </si>
  <si>
    <t>ALM-AMB-003</t>
  </si>
  <si>
    <t>AMBIENTADOR P/DISPENSADOR  GLADE 6.ONZ</t>
  </si>
  <si>
    <t>ALM-AMB-005</t>
  </si>
  <si>
    <t>ALM-AMB-004</t>
  </si>
  <si>
    <t>AMBIENTADOR  GLADE 8 OZ</t>
  </si>
  <si>
    <t>ALM-AMB-006</t>
  </si>
  <si>
    <t>ALM-SERVILL-002</t>
  </si>
  <si>
    <t>ALM-FUNDA-004</t>
  </si>
  <si>
    <t>FUNDAS PLASTICAS NEGRA 36/54 C 200 55 GALONES FARDO</t>
  </si>
  <si>
    <t>ALM-FUNDA-005</t>
  </si>
  <si>
    <t>FUNDAS PLASTICAS NEGRA 17X22C 120 GALONES 100/1</t>
  </si>
  <si>
    <t>ALM-ALMIDON-001</t>
  </si>
  <si>
    <t>ALMIDON PARA PLANCHAR</t>
  </si>
  <si>
    <t>ALM-CLORO-001</t>
  </si>
  <si>
    <t>CLORO ACEL GALON</t>
  </si>
  <si>
    <t>DESINFECTANTE MISTOLIN GALONES BRISA MARINA</t>
  </si>
  <si>
    <t>ALM-DESINF-004</t>
  </si>
  <si>
    <t>LIMPIADOR DE CERAMICA KLINACCION</t>
  </si>
  <si>
    <t>ALM-LIMP-002</t>
  </si>
  <si>
    <t>LIMPIADOR DE INODIRO KLINACCION</t>
  </si>
  <si>
    <t>ALM-DESGR-001</t>
  </si>
  <si>
    <t>DESGRASANTE KLINACCION</t>
  </si>
  <si>
    <t>ALM-TOALLAS MICROF-001</t>
  </si>
  <si>
    <t>TOALLAS MICROFIBRA 16X16 AMARILLA</t>
  </si>
  <si>
    <t>ALMA-DETERGENTE -001</t>
  </si>
  <si>
    <t xml:space="preserve">SACO DE DETERGENTE EN POLVO 30 LIBRAS </t>
  </si>
  <si>
    <t>Mantenimiento</t>
  </si>
  <si>
    <t>ALM-CERRADURA-003</t>
  </si>
  <si>
    <t>CERRADURA DE PUERTA</t>
  </si>
  <si>
    <t>ALM-CERRADURA-001</t>
  </si>
  <si>
    <t>CERRADURAS C-LLAVE</t>
  </si>
  <si>
    <t>ALM-ALC-001</t>
  </si>
  <si>
    <t>ALCOHOL ISOPROPILICO 100%</t>
  </si>
  <si>
    <t>ALM-CBT-001</t>
  </si>
  <si>
    <t xml:space="preserve">CABLE TIES ( TAYRA ) </t>
  </si>
  <si>
    <t>PAQUETE 100/1</t>
  </si>
  <si>
    <t>ALM-DES- 001</t>
  </si>
  <si>
    <t>DESINFECTANTE FABULOSO</t>
  </si>
  <si>
    <t>ALM-DIS-001</t>
  </si>
  <si>
    <t>DISPENSADOR DE GEL ANTIBACTERIAL AUTOMATICO</t>
  </si>
  <si>
    <t>B1500000214</t>
  </si>
  <si>
    <t>ALM-ESC-001</t>
  </si>
  <si>
    <t>ESCOBA</t>
  </si>
  <si>
    <t>CERRADURADE PUÑO CON LLAVES</t>
  </si>
  <si>
    <t>B1500000832</t>
  </si>
  <si>
    <t>ALM-CERRADURA S/LLAVE-001</t>
  </si>
  <si>
    <t>B1500000617</t>
  </si>
  <si>
    <t>ALMA-TARGET-001</t>
  </si>
  <si>
    <t xml:space="preserve">TARGET EN LONA MATE TAMAÑO 24X24 </t>
  </si>
  <si>
    <t>B1500006678</t>
  </si>
  <si>
    <t xml:space="preserve">Total de Inventario                    </t>
  </si>
  <si>
    <t xml:space="preserve"> Elaborado  Por:</t>
  </si>
  <si>
    <t>Revisado por</t>
  </si>
  <si>
    <t>Brenda Yocasta Matos</t>
  </si>
  <si>
    <t>Maria Lajara</t>
  </si>
  <si>
    <t>Enc. Contabilidad</t>
  </si>
  <si>
    <t>Enc. Administrativa Financiera</t>
  </si>
  <si>
    <t>Código</t>
  </si>
  <si>
    <t>Descripción del Bien</t>
  </si>
  <si>
    <t>Fecha Reg.</t>
  </si>
  <si>
    <t>Fecha Adq.</t>
  </si>
  <si>
    <t>Valor Bien.</t>
  </si>
  <si>
    <t>Deprec. Acum.</t>
  </si>
  <si>
    <t>Valor Libros</t>
  </si>
  <si>
    <t>BN</t>
  </si>
  <si>
    <t>RD$.</t>
  </si>
  <si>
    <r>
      <rPr>
        <b/>
        <sz val="8"/>
        <color rgb="FF000000"/>
        <rFont val="Times New Roman"/>
        <family val="1"/>
      </rPr>
      <t>Total</t>
    </r>
    <r>
      <rPr>
        <b/>
        <sz val="8"/>
        <color rgb="FF000000"/>
        <rFont val="Times New Roman"/>
        <family val="1"/>
      </rPr>
      <t xml:space="preserve"> </t>
    </r>
    <r>
      <rPr>
        <b/>
        <sz val="8"/>
        <color rgb="FF000000"/>
        <rFont val="Times New Roman"/>
        <family val="1"/>
      </rPr>
      <t>General</t>
    </r>
  </si>
  <si>
    <t>SubTotal: Automóviles y cam</t>
  </si>
  <si>
    <t>iones</t>
  </si>
  <si>
    <t>IGN-JEEPETA-0000-7618</t>
  </si>
  <si>
    <t>JEEPETA</t>
  </si>
  <si>
    <t>26/4/2017</t>
  </si>
  <si>
    <t>17/6/2016</t>
  </si>
  <si>
    <t>IGN-CAM-002</t>
  </si>
  <si>
    <t>CAMIONETA 2024  BLANCO DONGFENG RIC</t>
  </si>
  <si>
    <t>21/8/2023</t>
  </si>
  <si>
    <t>31/7/2023</t>
  </si>
  <si>
    <t>IGN-MINIBUS-00010-7621</t>
  </si>
  <si>
    <t>MINIBUS</t>
  </si>
  <si>
    <t>IGN-CAM-001</t>
  </si>
  <si>
    <t>CAMIONETA MEC. DBL CAB 4X4 DIESEL</t>
  </si>
  <si>
    <t>23/8/2017</t>
  </si>
  <si>
    <t>9/8/2017</t>
  </si>
  <si>
    <t>IGN-JEEPETA-0000-7617</t>
  </si>
  <si>
    <t>3/5/2017</t>
  </si>
  <si>
    <t>1/8/2016</t>
  </si>
  <si>
    <t>IGN-JEEPETA-0000-7620</t>
  </si>
  <si>
    <t>SubTotal: Cámaras fotográficas y de video</t>
  </si>
  <si>
    <t>IGN-CAMARA-001</t>
  </si>
  <si>
    <t>CAM40-FULL HD,1080P MICROFONO INTEG</t>
  </si>
  <si>
    <t>15/12/2021</t>
  </si>
  <si>
    <t>30/6/2021</t>
  </si>
  <si>
    <t>IGN-CAMARA-002</t>
  </si>
  <si>
    <t>IGN-CAMARA-003</t>
  </si>
  <si>
    <t>IGN-COTR-003 734779</t>
  </si>
  <si>
    <t>CONTROL EBIO Y CODIGO ACCESO</t>
  </si>
  <si>
    <t>29/6/2017</t>
  </si>
  <si>
    <t>2/6/2017</t>
  </si>
  <si>
    <t>IGN-CAMARA-004</t>
  </si>
  <si>
    <t>IGN-CAM-FOT-002</t>
  </si>
  <si>
    <t>CANON REBEL TGI</t>
  </si>
  <si>
    <t>10/1/2019</t>
  </si>
  <si>
    <t>14/12/2018</t>
  </si>
  <si>
    <t>IGN-CONTR-002734805</t>
  </si>
  <si>
    <t>CONTROL DE ACCESO</t>
  </si>
  <si>
    <t>25/4/2017</t>
  </si>
  <si>
    <t>IGN-CAM-FOT-001</t>
  </si>
  <si>
    <t>NIKON COOLPIX B500</t>
  </si>
  <si>
    <t>SubTotal: Carrocerías y remolques</t>
  </si>
  <si>
    <t>IGN-ESCA-001  734733</t>
  </si>
  <si>
    <t>ESCALERA TIJERA</t>
  </si>
  <si>
    <t>31/7/2017</t>
  </si>
  <si>
    <t>1/10/2016</t>
  </si>
  <si>
    <r>
      <rPr>
        <b/>
        <sz val="8"/>
        <color rgb="FF000000"/>
        <rFont val="Times New Roman"/>
        <family val="1"/>
      </rPr>
      <t>SubTotal:</t>
    </r>
    <r>
      <rPr>
        <b/>
        <sz val="8"/>
        <color rgb="FF000000"/>
        <rFont val="Times New Roman"/>
        <family val="1"/>
      </rPr>
      <t xml:space="preserve"> </t>
    </r>
    <r>
      <rPr>
        <b/>
        <sz val="8"/>
        <color rgb="FF000000"/>
        <rFont val="Times New Roman"/>
        <family val="1"/>
      </rPr>
      <t>Electrodomésticos</t>
    </r>
  </si>
  <si>
    <t>IGN-AIRE/A-004734698</t>
  </si>
  <si>
    <t>AIRE ACONDICIONADO</t>
  </si>
  <si>
    <t>16/5/2017</t>
  </si>
  <si>
    <t>1/11/2016</t>
  </si>
  <si>
    <t>IGN-MICROON-005</t>
  </si>
  <si>
    <t>MICROONDAS SANSUNG AME83NXAP INO 00</t>
  </si>
  <si>
    <t>20/4/2023</t>
  </si>
  <si>
    <t>14/4/2023</t>
  </si>
  <si>
    <t>IGN-BEBEDERO-003</t>
  </si>
  <si>
    <t>BEBEDERO FRIGIDAIRE AGUA FRIA Y CAL</t>
  </si>
  <si>
    <t>19/6/2023</t>
  </si>
  <si>
    <t>13/6/2023</t>
  </si>
  <si>
    <t>IGN-MICROH-002</t>
  </si>
  <si>
    <t>Microondas Oster 17.</t>
  </si>
  <si>
    <t>28/9/2021</t>
  </si>
  <si>
    <t>23/9/2021</t>
  </si>
  <si>
    <t>IGN-AIRE/A-017</t>
  </si>
  <si>
    <t>AIRE ACONDICIONADO 12,000 BTU EFICI</t>
  </si>
  <si>
    <t>7/12/2022</t>
  </si>
  <si>
    <t>6/12/2022</t>
  </si>
  <si>
    <t>IGN-AIRE/A-008734654</t>
  </si>
  <si>
    <t>9/10/2017</t>
  </si>
  <si>
    <t>18/9/2017</t>
  </si>
  <si>
    <t>IGN-AIRE/A-005734864</t>
  </si>
  <si>
    <t>IGN-AIRE/A-002734853</t>
  </si>
  <si>
    <t>IGN-WAFLERA-703041789</t>
  </si>
  <si>
    <t>WAFLERA</t>
  </si>
  <si>
    <t>IGN-AIRE/A-013734813</t>
  </si>
  <si>
    <t>16/10/2017</t>
  </si>
  <si>
    <t>IGN-AIRE/A-003734684</t>
  </si>
  <si>
    <t>IGN-AIRE/A-014734843</t>
  </si>
  <si>
    <t>IGN-MICROON-004</t>
  </si>
  <si>
    <t>IGN-BEBEDERO-002</t>
  </si>
  <si>
    <t>IGN-NEVERA-007134788</t>
  </si>
  <si>
    <t>NEVERA</t>
  </si>
  <si>
    <t>1/6/2016</t>
  </si>
  <si>
    <t>IGN-AIRE/A-016</t>
  </si>
  <si>
    <t>26/9/2022</t>
  </si>
  <si>
    <t>5/8/2022</t>
  </si>
  <si>
    <r>
      <rPr>
        <sz val="8"/>
        <color rgb="FF000000"/>
        <rFont val="Times New Roman"/>
        <family val="1"/>
      </rPr>
      <t>IGN-ABAN/T-001</t>
    </r>
  </si>
  <si>
    <r>
      <rPr>
        <sz val="8"/>
        <color rgb="FF000000"/>
        <rFont val="Times New Roman"/>
        <family val="1"/>
      </rPr>
      <t>ABANICO</t>
    </r>
    <r>
      <rPr>
        <sz val="8"/>
        <color rgb="FF000000"/>
        <rFont val="Times New Roman"/>
        <family val="1"/>
      </rPr>
      <t xml:space="preserve"> </t>
    </r>
    <r>
      <rPr>
        <sz val="8"/>
        <color rgb="FF000000"/>
        <rFont val="Times New Roman"/>
        <family val="1"/>
      </rPr>
      <t>DE</t>
    </r>
    <r>
      <rPr>
        <sz val="8"/>
        <color rgb="FF000000"/>
        <rFont val="Times New Roman"/>
        <family val="1"/>
      </rPr>
      <t xml:space="preserve"> </t>
    </r>
    <r>
      <rPr>
        <sz val="8"/>
        <color rgb="FF000000"/>
        <rFont val="Times New Roman"/>
        <family val="1"/>
      </rPr>
      <t>TECHO</t>
    </r>
  </si>
  <si>
    <r>
      <rPr>
        <sz val="8"/>
        <color rgb="FF000000"/>
        <rFont val="Times New Roman"/>
        <family val="1"/>
      </rPr>
      <t>16/5/2017</t>
    </r>
  </si>
  <si>
    <r>
      <rPr>
        <sz val="8"/>
        <color rgb="FF000000"/>
        <rFont val="Times New Roman"/>
        <family val="1"/>
      </rPr>
      <t>1/12/2016</t>
    </r>
  </si>
  <si>
    <t>IGN HORNO-001</t>
  </si>
  <si>
    <t>HORNO ELECTRICO OSTER</t>
  </si>
  <si>
    <t>16/3/2021</t>
  </si>
  <si>
    <t>IGN-AIRE/A-012734844</t>
  </si>
  <si>
    <t>IGN-LICUAD-007134787</t>
  </si>
  <si>
    <t>LICUADORA</t>
  </si>
  <si>
    <t>IGN-AIRE/A-011734848</t>
  </si>
  <si>
    <t>IGN-AIRE/A-007734739</t>
  </si>
  <si>
    <t>IGN-AIRE/A-015</t>
  </si>
  <si>
    <t>IGN-ABAN/P-007134845</t>
  </si>
  <si>
    <t>ABANICO DE PARED</t>
  </si>
  <si>
    <t>1/7/2016</t>
  </si>
  <si>
    <t>IGN-AIRE/A-010734799</t>
  </si>
  <si>
    <t>IGN-AIRE/A-001734732</t>
  </si>
  <si>
    <t>15/5/2017</t>
  </si>
  <si>
    <t>IGN-ABANICO-0N0/1A</t>
  </si>
  <si>
    <t>Abanico de Pared KDK 18 2 Velocidad</t>
  </si>
  <si>
    <t>1/10/2021</t>
  </si>
  <si>
    <t>IGN-BEBEDERO 01</t>
  </si>
  <si>
    <t>BEBEDERO BOTELLON OCULTO</t>
  </si>
  <si>
    <t>17/3/2021</t>
  </si>
  <si>
    <t>10/3/2021</t>
  </si>
  <si>
    <t>IGN-MICROH-003</t>
  </si>
  <si>
    <t>Microonda Oster 17</t>
  </si>
  <si>
    <t>IGN-AIRE/A-006734655</t>
  </si>
  <si>
    <t>IGN-NEVERA-007234842</t>
  </si>
  <si>
    <t>NEVERA EJECUTIVA</t>
  </si>
  <si>
    <t>5/1/2018</t>
  </si>
  <si>
    <t>20/12/2017</t>
  </si>
  <si>
    <t>IGN-AIRE/A-009734849</t>
  </si>
  <si>
    <t>IGN-AIRE/A-018</t>
  </si>
  <si>
    <t>AIRE ACONDICIONADO 18,000 BTU EFICI</t>
  </si>
  <si>
    <r>
      <rPr>
        <b/>
        <sz val="8"/>
        <color rgb="FF000000"/>
        <rFont val="Times New Roman"/>
        <family val="1"/>
      </rPr>
      <t>SubTotal:</t>
    </r>
    <r>
      <rPr>
        <b/>
        <sz val="8"/>
        <color rgb="FF000000"/>
        <rFont val="Times New Roman"/>
        <family val="1"/>
      </rPr>
      <t xml:space="preserve"> </t>
    </r>
    <r>
      <rPr>
        <b/>
        <sz val="8"/>
        <color rgb="FF000000"/>
        <rFont val="Times New Roman"/>
        <family val="1"/>
      </rPr>
      <t>Equipo</t>
    </r>
    <r>
      <rPr>
        <b/>
        <sz val="8"/>
        <color rgb="FF000000"/>
        <rFont val="Times New Roman"/>
        <family val="1"/>
      </rPr>
      <t xml:space="preserve"> </t>
    </r>
    <r>
      <rPr>
        <b/>
        <sz val="8"/>
        <color rgb="FF000000"/>
        <rFont val="Times New Roman"/>
        <family val="1"/>
      </rPr>
      <t>aeronáutico</t>
    </r>
  </si>
  <si>
    <t>IGN-DRON-001 734697</t>
  </si>
  <si>
    <t>DRON</t>
  </si>
  <si>
    <t>20/10/2017</t>
  </si>
  <si>
    <t>25/8/2017</t>
  </si>
  <si>
    <t>IGN-DRON-002</t>
  </si>
  <si>
    <t>DRON DJI PHATOM 4 RTK SERIA OV2DK6M</t>
  </si>
  <si>
    <t>2/8/2023</t>
  </si>
  <si>
    <t>20/7/2023</t>
  </si>
  <si>
    <t>SubTotal: Equipo de comunicación, telecomunicaciones y señal</t>
  </si>
  <si>
    <t>IGN-CELL-003</t>
  </si>
  <si>
    <t>CELULAR XIAOMI REDMI NOTE 12 PRO 5G</t>
  </si>
  <si>
    <t>22/9/2023</t>
  </si>
  <si>
    <t>6/9/2023</t>
  </si>
  <si>
    <t>IGN-AURICUL-007</t>
  </si>
  <si>
    <t>Headset H390 Clearchat Comfort USB</t>
  </si>
  <si>
    <t>23/11/2021</t>
  </si>
  <si>
    <t>IGN-CENT/T-001</t>
  </si>
  <si>
    <t>CENTRAL TELEFONICA</t>
  </si>
  <si>
    <t>19/5/2017</t>
  </si>
  <si>
    <t>21/12/2016</t>
  </si>
  <si>
    <t>IGN-ANTENA-001</t>
  </si>
  <si>
    <t>BASE GNSS ANTENA CON 10M DE CABLE</t>
  </si>
  <si>
    <t>19/6/2020</t>
  </si>
  <si>
    <t>30/12/2019</t>
  </si>
  <si>
    <t>IGN-AURICUL-005</t>
  </si>
  <si>
    <t>Auricular C530 Dual Channel +Adapta</t>
  </si>
  <si>
    <t>15/6/2020</t>
  </si>
  <si>
    <t>31/12/2019</t>
  </si>
  <si>
    <t>IGN-AURICUL-008</t>
  </si>
  <si>
    <t>IGN-GPS-002</t>
  </si>
  <si>
    <t>GPS</t>
  </si>
  <si>
    <t>23/7/2021</t>
  </si>
  <si>
    <t>21/6/2021</t>
  </si>
  <si>
    <t>IGN-CELL-004</t>
  </si>
  <si>
    <t>CELULAR XIAOMI REDMI NOTE 12 PRO 4G</t>
  </si>
  <si>
    <t>IGN-RECINT-001</t>
  </si>
  <si>
    <t>RECEPTOR ROVER FULL GNSS ESTATICO R</t>
  </si>
  <si>
    <t>IGN-AURICUL-003</t>
  </si>
  <si>
    <t>IGN-RADIO-002</t>
  </si>
  <si>
    <t>RADIO TALKABOUT</t>
  </si>
  <si>
    <t>18/6/2020</t>
  </si>
  <si>
    <t>IGN-RECINT-004</t>
  </si>
  <si>
    <t>RECEPTOR GNSS KOLIDA K7 AA52CA14865</t>
  </si>
  <si>
    <t>17/7/2023</t>
  </si>
  <si>
    <t>IGN-GPS-001     734859</t>
  </si>
  <si>
    <t>IGN-AURICUL-006</t>
  </si>
  <si>
    <t>IGN-CEL-002</t>
  </si>
  <si>
    <t>CELULAR</t>
  </si>
  <si>
    <t>20/12/2016</t>
  </si>
  <si>
    <t>IGN-COLECT-001</t>
  </si>
  <si>
    <t>COLECTOR DE DATOS CON SOFTWARE INTE</t>
  </si>
  <si>
    <r>
      <rPr>
        <sz val="8"/>
        <color rgb="FF000000"/>
        <rFont val="Times New Roman"/>
        <family val="1"/>
      </rPr>
      <t>IGN-AURICUL-004</t>
    </r>
  </si>
  <si>
    <r>
      <rPr>
        <sz val="8"/>
        <color rgb="FF000000"/>
        <rFont val="Times New Roman"/>
        <family val="1"/>
      </rPr>
      <t>Auricular</t>
    </r>
    <r>
      <rPr>
        <sz val="8"/>
        <color rgb="FF000000"/>
        <rFont val="Times New Roman"/>
        <family val="1"/>
      </rPr>
      <t xml:space="preserve"> </t>
    </r>
    <r>
      <rPr>
        <sz val="8"/>
        <color rgb="FF000000"/>
        <rFont val="Times New Roman"/>
        <family val="1"/>
      </rPr>
      <t>C530</t>
    </r>
    <r>
      <rPr>
        <sz val="8"/>
        <color rgb="FF000000"/>
        <rFont val="Times New Roman"/>
        <family val="1"/>
      </rPr>
      <t xml:space="preserve"> </t>
    </r>
    <r>
      <rPr>
        <sz val="8"/>
        <color rgb="FF000000"/>
        <rFont val="Times New Roman"/>
        <family val="1"/>
      </rPr>
      <t>Dual</t>
    </r>
    <r>
      <rPr>
        <sz val="8"/>
        <color rgb="FF000000"/>
        <rFont val="Times New Roman"/>
        <family val="1"/>
      </rPr>
      <t xml:space="preserve"> </t>
    </r>
    <r>
      <rPr>
        <sz val="8"/>
        <color rgb="FF000000"/>
        <rFont val="Times New Roman"/>
        <family val="1"/>
      </rPr>
      <t>Channel</t>
    </r>
    <r>
      <rPr>
        <sz val="8"/>
        <color rgb="FF000000"/>
        <rFont val="Times New Roman"/>
        <family val="1"/>
      </rPr>
      <t xml:space="preserve"> </t>
    </r>
    <r>
      <rPr>
        <sz val="8"/>
        <color rgb="FF000000"/>
        <rFont val="Times New Roman"/>
        <family val="1"/>
      </rPr>
      <t>+Adapta</t>
    </r>
  </si>
  <si>
    <r>
      <rPr>
        <sz val="8"/>
        <color rgb="FF000000"/>
        <rFont val="Times New Roman"/>
        <family val="1"/>
      </rPr>
      <t>15/6/2020</t>
    </r>
  </si>
  <si>
    <r>
      <rPr>
        <sz val="8"/>
        <color rgb="FF000000"/>
        <rFont val="Times New Roman"/>
        <family val="1"/>
      </rPr>
      <t>31/12/2019</t>
    </r>
  </si>
  <si>
    <t>IGN-RADIO-003</t>
  </si>
  <si>
    <t>IGN-RADIO-004</t>
  </si>
  <si>
    <t>RADIO EXTERNO S6 KOLIDA MAS ACCESOR</t>
  </si>
  <si>
    <t>IGN-TEL-001</t>
  </si>
  <si>
    <t>FLOTA</t>
  </si>
  <si>
    <t>29/9/2017</t>
  </si>
  <si>
    <t>10/7/2017</t>
  </si>
  <si>
    <t>IGN-AURICUL-009</t>
  </si>
  <si>
    <t>IGN-CELL-005</t>
  </si>
  <si>
    <t>SANSUNG GALAXY A04 4G LTE (64GB+4GB</t>
  </si>
  <si>
    <t>IGN-ANTENA-002</t>
  </si>
  <si>
    <t>26/12/2019</t>
  </si>
  <si>
    <t>IGN-COLECT-002</t>
  </si>
  <si>
    <t>COLECTOR DE DATOS TRIMBLE CU-TSC3 N</t>
  </si>
  <si>
    <t>22/6/2023</t>
  </si>
  <si>
    <t>IGN-CONTR/B-001</t>
  </si>
  <si>
    <t>CONTROL BIOMETRICO</t>
  </si>
  <si>
    <t>18/5/2017</t>
  </si>
  <si>
    <t>13/10/2016</t>
  </si>
  <si>
    <t>IGN-TEL-002</t>
  </si>
  <si>
    <t>IGN-AURICUL-010</t>
  </si>
  <si>
    <t>IGN-RECMOD-001</t>
  </si>
  <si>
    <t>TRIMBLE R9s MEDICIONES, HD 360 GNSS</t>
  </si>
  <si>
    <t>IGN-TAB-003    734847</t>
  </si>
  <si>
    <t>TABLETA</t>
  </si>
  <si>
    <t>15/5/2018</t>
  </si>
  <si>
    <t>2/4/2018</t>
  </si>
  <si>
    <t>IGN-COLECT-003</t>
  </si>
  <si>
    <t>COLECTOR H6 KOLIDA MAS ACCESORIOS</t>
  </si>
  <si>
    <t>IGN-RECINT-002</t>
  </si>
  <si>
    <t>RECEPTOR GNSS KOLIDA K7</t>
  </si>
  <si>
    <t>IGN-RECMOD-002</t>
  </si>
  <si>
    <t>IGN-AURICUL-001</t>
  </si>
  <si>
    <t>IGN-AURICUL-002</t>
  </si>
  <si>
    <t>IGN-RADIO-001</t>
  </si>
  <si>
    <t>IGN-RECINT-003</t>
  </si>
  <si>
    <t>RECEPTOR GNSS KOLIDA K MAS ACCESORI</t>
  </si>
  <si>
    <t>IGN-GPS-003</t>
  </si>
  <si>
    <t>GPSMAP 66SR MULTIBAND GNSS 30 DIAS</t>
  </si>
  <si>
    <t>19/1/2023</t>
  </si>
  <si>
    <t>19/7/2022</t>
  </si>
  <si>
    <r>
      <rPr>
        <b/>
        <sz val="8"/>
        <color rgb="FF000000"/>
        <rFont val="Times New Roman"/>
        <family val="1"/>
      </rPr>
      <t>SubTotal:</t>
    </r>
    <r>
      <rPr>
        <b/>
        <sz val="8"/>
        <color rgb="FF000000"/>
        <rFont val="Times New Roman"/>
        <family val="1"/>
      </rPr>
      <t xml:space="preserve"> </t>
    </r>
    <r>
      <rPr>
        <b/>
        <sz val="8"/>
        <color rgb="FF000000"/>
        <rFont val="Times New Roman"/>
        <family val="1"/>
      </rPr>
      <t>Equipo</t>
    </r>
    <r>
      <rPr>
        <b/>
        <sz val="8"/>
        <color rgb="FF000000"/>
        <rFont val="Times New Roman"/>
        <family val="1"/>
      </rPr>
      <t xml:space="preserve"> </t>
    </r>
    <r>
      <rPr>
        <b/>
        <sz val="8"/>
        <color rgb="FF000000"/>
        <rFont val="Times New Roman"/>
        <family val="1"/>
      </rPr>
      <t>de</t>
    </r>
    <r>
      <rPr>
        <b/>
        <sz val="8"/>
        <color rgb="FF000000"/>
        <rFont val="Times New Roman"/>
        <family val="1"/>
      </rPr>
      <t xml:space="preserve"> </t>
    </r>
    <r>
      <rPr>
        <b/>
        <sz val="8"/>
        <color rgb="FF000000"/>
        <rFont val="Times New Roman"/>
        <family val="1"/>
      </rPr>
      <t>elevación</t>
    </r>
  </si>
  <si>
    <t>IGN-CARGA-001</t>
  </si>
  <si>
    <t>CARRO DE ALMACEN 4 RUEDAS CAPACIADA</t>
  </si>
  <si>
    <t>1/6/2023</t>
  </si>
  <si>
    <t>22/5/2023</t>
  </si>
  <si>
    <t>SubTotal: Equipo de generación eléctrica, aparatos y accesor</t>
  </si>
  <si>
    <t>IGN-UPS-030</t>
  </si>
  <si>
    <t>UPS APC BE600MT1 120V / 600VA/ 330W</t>
  </si>
  <si>
    <t>27/6/2022</t>
  </si>
  <si>
    <t>22/6/2022</t>
  </si>
  <si>
    <t>IGN-UPS-033</t>
  </si>
  <si>
    <t>UPS APC BX600L-M BACK-UPS, 24 MESES</t>
  </si>
  <si>
    <t>29/11/2022</t>
  </si>
  <si>
    <t>17/11/2022</t>
  </si>
  <si>
    <t>IGN-UPS-029</t>
  </si>
  <si>
    <t>UPS  APC BE600MT1 120V / 600VA/ 330</t>
  </si>
  <si>
    <t>IGN-UPS-028</t>
  </si>
  <si>
    <t>IGN-INVER-002</t>
  </si>
  <si>
    <t>Inversor Inverter</t>
  </si>
  <si>
    <t>9/6/2021</t>
  </si>
  <si>
    <t>14/5/2021</t>
  </si>
  <si>
    <t>IGN-UPS-037</t>
  </si>
  <si>
    <t>IGN-UPS-032</t>
  </si>
  <si>
    <t>IGN-UPS-035</t>
  </si>
  <si>
    <t>IGN-UPS-031</t>
  </si>
  <si>
    <t>IGN-UPS-034</t>
  </si>
  <si>
    <r>
      <rPr>
        <b/>
        <sz val="8"/>
        <color rgb="FF000000"/>
        <rFont val="Times New Roman"/>
        <family val="1"/>
      </rPr>
      <t>SubTotal:</t>
    </r>
    <r>
      <rPr>
        <b/>
        <sz val="8"/>
        <color rgb="FF000000"/>
        <rFont val="Times New Roman"/>
        <family val="1"/>
      </rPr>
      <t xml:space="preserve"> </t>
    </r>
    <r>
      <rPr>
        <b/>
        <sz val="8"/>
        <color rgb="FF000000"/>
        <rFont val="Times New Roman"/>
        <family val="1"/>
      </rPr>
      <t>Equipos</t>
    </r>
    <r>
      <rPr>
        <b/>
        <sz val="8"/>
        <color rgb="FF000000"/>
        <rFont val="Times New Roman"/>
        <family val="1"/>
      </rPr>
      <t xml:space="preserve"> </t>
    </r>
    <r>
      <rPr>
        <b/>
        <sz val="8"/>
        <color rgb="FF000000"/>
        <rFont val="Times New Roman"/>
        <family val="1"/>
      </rPr>
      <t xml:space="preserve"> </t>
    </r>
    <r>
      <rPr>
        <b/>
        <sz val="8"/>
        <color rgb="FF000000"/>
        <rFont val="Times New Roman"/>
        <family val="1"/>
      </rPr>
      <t>recreativos</t>
    </r>
  </si>
  <si>
    <t>IGN-ASTAS-002734851</t>
  </si>
  <si>
    <t>ASTAS (MASTILES DE BANDERA)</t>
  </si>
  <si>
    <t>20/8/2018</t>
  </si>
  <si>
    <t>24/7/2018</t>
  </si>
  <si>
    <r>
      <rPr>
        <sz val="8"/>
        <color rgb="FF000000"/>
        <rFont val="Times New Roman"/>
        <family val="1"/>
      </rPr>
      <t>IGN-ASTAS-00</t>
    </r>
    <r>
      <rPr>
        <sz val="8"/>
        <color rgb="FF000000"/>
        <rFont val="Times New Roman"/>
        <family val="1"/>
      </rPr>
      <t>1</t>
    </r>
    <r>
      <rPr>
        <sz val="8"/>
        <color rgb="FF000000"/>
        <rFont val="Times New Roman"/>
        <family val="1"/>
      </rPr>
      <t>734850</t>
    </r>
  </si>
  <si>
    <r>
      <rPr>
        <sz val="8"/>
        <color rgb="FF000000"/>
        <rFont val="Times New Roman"/>
        <family val="1"/>
      </rPr>
      <t>ASTAS</t>
    </r>
    <r>
      <rPr>
        <sz val="8"/>
        <color rgb="FF000000"/>
        <rFont val="Times New Roman"/>
        <family val="1"/>
      </rPr>
      <t xml:space="preserve"> </t>
    </r>
    <r>
      <rPr>
        <sz val="8"/>
        <color rgb="FF000000"/>
        <rFont val="Times New Roman"/>
        <family val="1"/>
      </rPr>
      <t>(</t>
    </r>
    <r>
      <rPr>
        <sz val="8"/>
        <color rgb="FF000000"/>
        <rFont val="Times New Roman"/>
        <family val="1"/>
      </rPr>
      <t xml:space="preserve"> </t>
    </r>
    <r>
      <rPr>
        <sz val="8"/>
        <color rgb="FF000000"/>
        <rFont val="Times New Roman"/>
        <family val="1"/>
      </rPr>
      <t>MASTILES</t>
    </r>
    <r>
      <rPr>
        <sz val="8"/>
        <color rgb="FF000000"/>
        <rFont val="Times New Roman"/>
        <family val="1"/>
      </rPr>
      <t xml:space="preserve"> </t>
    </r>
    <r>
      <rPr>
        <sz val="8"/>
        <color rgb="FF000000"/>
        <rFont val="Times New Roman"/>
        <family val="1"/>
      </rPr>
      <t>DE</t>
    </r>
    <r>
      <rPr>
        <sz val="8"/>
        <color rgb="FF000000"/>
        <rFont val="Times New Roman"/>
        <family val="1"/>
      </rPr>
      <t xml:space="preserve"> </t>
    </r>
    <r>
      <rPr>
        <sz val="8"/>
        <color rgb="FF000000"/>
        <rFont val="Times New Roman"/>
        <family val="1"/>
      </rPr>
      <t>BANDERA)</t>
    </r>
  </si>
  <si>
    <r>
      <rPr>
        <sz val="8"/>
        <color rgb="FF000000"/>
        <rFont val="Times New Roman"/>
        <family val="1"/>
      </rPr>
      <t>20/8/2018</t>
    </r>
  </si>
  <si>
    <r>
      <rPr>
        <sz val="8"/>
        <color rgb="FF000000"/>
        <rFont val="Times New Roman"/>
        <family val="1"/>
      </rPr>
      <t>24/7/2018</t>
    </r>
  </si>
  <si>
    <t>IGN-ASTAS-003734852</t>
  </si>
  <si>
    <t>IGN-ASTAS-004</t>
  </si>
  <si>
    <t>19/12/2019</t>
  </si>
  <si>
    <t>IGN-ASTAS-005</t>
  </si>
  <si>
    <r>
      <rPr>
        <b/>
        <sz val="8"/>
        <color rgb="FF000000"/>
        <rFont val="Times New Roman"/>
        <family val="1"/>
      </rPr>
      <t>SubTotal:</t>
    </r>
    <r>
      <rPr>
        <b/>
        <sz val="8"/>
        <color rgb="FF000000"/>
        <rFont val="Times New Roman"/>
        <family val="1"/>
      </rPr>
      <t xml:space="preserve"> </t>
    </r>
    <r>
      <rPr>
        <b/>
        <sz val="8"/>
        <color rgb="FF000000"/>
        <rFont val="Times New Roman"/>
        <family val="1"/>
      </rPr>
      <t>Equipos</t>
    </r>
    <r>
      <rPr>
        <b/>
        <sz val="8"/>
        <color rgb="FF000000"/>
        <rFont val="Times New Roman"/>
        <family val="1"/>
      </rPr>
      <t xml:space="preserve"> </t>
    </r>
    <r>
      <rPr>
        <b/>
        <sz val="8"/>
        <color rgb="FF000000"/>
        <rFont val="Times New Roman"/>
        <family val="1"/>
      </rPr>
      <t>de</t>
    </r>
    <r>
      <rPr>
        <b/>
        <sz val="8"/>
        <color rgb="FF000000"/>
        <rFont val="Times New Roman"/>
        <family val="1"/>
      </rPr>
      <t xml:space="preserve"> </t>
    </r>
    <r>
      <rPr>
        <b/>
        <sz val="8"/>
        <color rgb="FF000000"/>
        <rFont val="Times New Roman"/>
        <family val="1"/>
      </rPr>
      <t>cómputo</t>
    </r>
  </si>
  <si>
    <t>IGN-PROYECT-070314863</t>
  </si>
  <si>
    <t>EPSON</t>
  </si>
  <si>
    <t>12/6/2020</t>
  </si>
  <si>
    <t>IGN-CPU-024</t>
  </si>
  <si>
    <t>DELL PRECISION 5820</t>
  </si>
  <si>
    <t>IGN-LAPTOP-022</t>
  </si>
  <si>
    <t>LAPTOP MACBOOK PRO-2023 CON CPU DE</t>
  </si>
  <si>
    <t>12/7/2023</t>
  </si>
  <si>
    <t>26/6/2023</t>
  </si>
  <si>
    <t>IGN-UPS-012</t>
  </si>
  <si>
    <t>UPS</t>
  </si>
  <si>
    <t>10/1/2018</t>
  </si>
  <si>
    <t>22/11/2017</t>
  </si>
  <si>
    <t>IGN-MON-002</t>
  </si>
  <si>
    <t>MONITOR</t>
  </si>
  <si>
    <t>IGN-MON-027</t>
  </si>
  <si>
    <t>MONITOR 24 PULGADAS</t>
  </si>
  <si>
    <t>26/7/2021</t>
  </si>
  <si>
    <t>21/7/2021</t>
  </si>
  <si>
    <t>IGN-MEMORIA-014</t>
  </si>
  <si>
    <t>Memoria 8GB DDR3L-1600 SODIMM</t>
  </si>
  <si>
    <t>6/12/2021</t>
  </si>
  <si>
    <t>IGN-MEMORIA-008</t>
  </si>
  <si>
    <t>Modulo de Memoria 8GB DRR4-2666</t>
  </si>
  <si>
    <t>9/12/2021</t>
  </si>
  <si>
    <t>IGN-MEMORIA-004</t>
  </si>
  <si>
    <t>Memoria 8GB DDR4 3200 MHZ</t>
  </si>
  <si>
    <t>14/12/2021</t>
  </si>
  <si>
    <t>13/12/2021</t>
  </si>
  <si>
    <t>IGN-LAPTOP-007634834</t>
  </si>
  <si>
    <t>LAPTOP</t>
  </si>
  <si>
    <t>28/7/2018</t>
  </si>
  <si>
    <t>IGN-MON-020</t>
  </si>
  <si>
    <t>MONITOR DELL DE 24</t>
  </si>
  <si>
    <t>22/8/2018</t>
  </si>
  <si>
    <t>25/5/2018</t>
  </si>
  <si>
    <t>IGN-MEMORIA-003</t>
  </si>
  <si>
    <t>TARJETA DE MEMORIA DE 8 GB</t>
  </si>
  <si>
    <t>IGN-UPS-018     734687</t>
  </si>
  <si>
    <t>UPS 600 VA</t>
  </si>
  <si>
    <t>24/8/2018</t>
  </si>
  <si>
    <t>IGN-TABLE-005734810</t>
  </si>
  <si>
    <t>TABLETA SAMSUNG GALAXY SM-T561</t>
  </si>
  <si>
    <t>IGN-MOU-006</t>
  </si>
  <si>
    <t>MOUSE LOGITECH M170 INALAMBRICO OPT</t>
  </si>
  <si>
    <t>29/10/2018</t>
  </si>
  <si>
    <t>IGN-LAPT-001  734686</t>
  </si>
  <si>
    <t>9/7/2017</t>
  </si>
  <si>
    <t>IGN-CPU-020    734646</t>
  </si>
  <si>
    <t>DELL OPTIPLEX 7060 SFF MEMORIA RAM</t>
  </si>
  <si>
    <t>1/5/2019</t>
  </si>
  <si>
    <t>28/12/2018</t>
  </si>
  <si>
    <t>IGN-HPROF-001</t>
  </si>
  <si>
    <t>KIT DE HERRAMIENTAS</t>
  </si>
  <si>
    <t>IGN-DISCO-001</t>
  </si>
  <si>
    <t>DISCO DURO</t>
  </si>
  <si>
    <t>28/6/2017</t>
  </si>
  <si>
    <t>23/1/2017</t>
  </si>
  <si>
    <t>IGN-CPU-003    734830</t>
  </si>
  <si>
    <t>CPU</t>
  </si>
  <si>
    <t>IGN-UPS-004     734777</t>
  </si>
  <si>
    <t>IGN-CPU-009    734744</t>
  </si>
  <si>
    <t>IGN-CPU-011    734723</t>
  </si>
  <si>
    <t>IGN-CPU-013    734763</t>
  </si>
  <si>
    <t>IGN-PROYEC-001</t>
  </si>
  <si>
    <t>PROYECTOR</t>
  </si>
  <si>
    <t>IGN-DISCO-006</t>
  </si>
  <si>
    <t>UNIDAD DE DISCO DURO 240 GB, SATA 3</t>
  </si>
  <si>
    <t>15/5/2019</t>
  </si>
  <si>
    <t>1/4/2019</t>
  </si>
  <si>
    <t>IGN-ROUT-006</t>
  </si>
  <si>
    <t>Indoor Wireless AP - Dual radio (80</t>
  </si>
  <si>
    <t>11/8/2021</t>
  </si>
  <si>
    <t>14/7/2021</t>
  </si>
  <si>
    <t>IGN-LAPTOP-018</t>
  </si>
  <si>
    <t>DELL LATITUDE 5520, XCTO 15.6¨I5-11</t>
  </si>
  <si>
    <t>30/8/2021</t>
  </si>
  <si>
    <t>ING-TAB-001    734809</t>
  </si>
  <si>
    <t>IGN-DISC-008</t>
  </si>
  <si>
    <t>Disco de Estado Solido  500GB Ultra</t>
  </si>
  <si>
    <t>IGN-MEMORIA-007</t>
  </si>
  <si>
    <t>IGN-DISCO-008</t>
  </si>
  <si>
    <t>500GB 3.2 GEN 2TYPE C</t>
  </si>
  <si>
    <t>IGN-BATERIA-002</t>
  </si>
  <si>
    <t>Bateria Repuesto para Portatil</t>
  </si>
  <si>
    <r>
      <rPr>
        <sz val="8"/>
        <color rgb="FF000000"/>
        <rFont val="Times New Roman"/>
        <family val="1"/>
      </rPr>
      <t>IGN-SERV-002</t>
    </r>
    <r>
      <rPr>
        <sz val="8"/>
        <color rgb="FF000000"/>
        <rFont val="Times New Roman"/>
        <family val="1"/>
      </rPr>
      <t xml:space="preserve"> </t>
    </r>
    <r>
      <rPr>
        <sz val="8"/>
        <color rgb="FF000000"/>
        <rFont val="Times New Roman"/>
        <family val="1"/>
      </rPr>
      <t xml:space="preserve"> </t>
    </r>
    <r>
      <rPr>
        <sz val="8"/>
        <color rgb="FF000000"/>
        <rFont val="Times New Roman"/>
        <family val="1"/>
      </rPr>
      <t>734652</t>
    </r>
  </si>
  <si>
    <r>
      <rPr>
        <sz val="8"/>
        <color rgb="FF000000"/>
        <rFont val="Times New Roman"/>
        <family val="1"/>
      </rPr>
      <t>SERVIDOR</t>
    </r>
  </si>
  <si>
    <r>
      <rPr>
        <sz val="8"/>
        <color rgb="FF000000"/>
        <rFont val="Times New Roman"/>
        <family val="1"/>
      </rPr>
      <t>29/9/2017</t>
    </r>
  </si>
  <si>
    <r>
      <rPr>
        <sz val="8"/>
        <color rgb="FF000000"/>
        <rFont val="Times New Roman"/>
        <family val="1"/>
      </rPr>
      <t>9/7/2017</t>
    </r>
  </si>
  <si>
    <t>IGN-MON-019   734669</t>
  </si>
  <si>
    <t>IGN-MEMORIA-002</t>
  </si>
  <si>
    <t>TARJETA DE MEMORIA RAM 8 GB</t>
  </si>
  <si>
    <t>IGN-UPS-017     734679</t>
  </si>
  <si>
    <t>IGN-TABLE-004734803</t>
  </si>
  <si>
    <t>IGN-MOU-004</t>
  </si>
  <si>
    <t>5/9/2018</t>
  </si>
  <si>
    <t>IGN-BANDEJA-001</t>
  </si>
  <si>
    <t>BANDEJA PARA RACK</t>
  </si>
  <si>
    <t>IGN-CPU-002    734818</t>
  </si>
  <si>
    <t>IGN-CPU-006    734775</t>
  </si>
  <si>
    <t>IGN-UPS-008     734846</t>
  </si>
  <si>
    <t>IGN-IMPRES-002</t>
  </si>
  <si>
    <t>IMPRESORA</t>
  </si>
  <si>
    <t>IGN-IMPRES-006764683</t>
  </si>
  <si>
    <t>IMPRESORA CANON IPF-670 FORMATO ANC</t>
  </si>
  <si>
    <t>19/12/2018</t>
  </si>
  <si>
    <t>IGN-SWICTH-007134647</t>
  </si>
  <si>
    <t>CISCO SG350X SWITCH</t>
  </si>
  <si>
    <t>IGN-SWITCH-007</t>
  </si>
  <si>
    <t>SWITCH 5 PUERTO TF-LINK TL-SG105, A</t>
  </si>
  <si>
    <t>3/11/2023</t>
  </si>
  <si>
    <t>5/10/2023</t>
  </si>
  <si>
    <t>IGN-MON-001</t>
  </si>
  <si>
    <t>IGN-MON-017</t>
  </si>
  <si>
    <t>MONITOR HP DE 19</t>
  </si>
  <si>
    <t>IGN-TARJVD-003</t>
  </si>
  <si>
    <t>TARJETA DE VIDEO EVGA GT1030</t>
  </si>
  <si>
    <t>IGN-UPS-015     734670</t>
  </si>
  <si>
    <t>IGN-CPU-018</t>
  </si>
  <si>
    <t>PC, DISCO DURO 1TB, RAM 8GB, PROCES</t>
  </si>
  <si>
    <t>IGN-MON-033</t>
  </si>
  <si>
    <t>Monitor DELL 24</t>
  </si>
  <si>
    <t>24/11/2021</t>
  </si>
  <si>
    <t>IGN-DISC-006</t>
  </si>
  <si>
    <t>IGN-MEMORIA-013</t>
  </si>
  <si>
    <t>Modulo de Memoria 8GB DRR3-1600</t>
  </si>
  <si>
    <t>IGN-UPS-027</t>
  </si>
  <si>
    <t>UPS APC 600VA/330W120 V USB</t>
  </si>
  <si>
    <t>IGN-LAPTOP-016</t>
  </si>
  <si>
    <t>IGN-LAPTOP-021</t>
  </si>
  <si>
    <t>LAPTOP INTEL 15.6 FULL HD 11 GENERA</t>
  </si>
  <si>
    <t>20/6/2022</t>
  </si>
  <si>
    <t>IGN-MON-036</t>
  </si>
  <si>
    <t>MONITOR FLAT DEL 24*P2422H FULL HD</t>
  </si>
  <si>
    <t>IGN-SWTCH-005</t>
  </si>
  <si>
    <t>IGN-LAPTOP-023</t>
  </si>
  <si>
    <t>LAPTOP PRESICION MOVIL 3571 INTEL C</t>
  </si>
  <si>
    <t>4/9/2023</t>
  </si>
  <si>
    <t>IGN-COMP-001</t>
  </si>
  <si>
    <t>COMPUTADORA</t>
  </si>
  <si>
    <t>IGN-LAPTOP-015</t>
  </si>
  <si>
    <t>DELL 15.6 Mobile Precision 3551, La</t>
  </si>
  <si>
    <t>21/12/2020</t>
  </si>
  <si>
    <t>IGN-DISC-003</t>
  </si>
  <si>
    <t>DISCO DURO EXTERNO 4TB</t>
  </si>
  <si>
    <t>13/12/2019</t>
  </si>
  <si>
    <t>6/12/2019</t>
  </si>
  <si>
    <t>IGN-MON-037</t>
  </si>
  <si>
    <t>MONITOR DELL 24 E2422HS,LED BACKLIT</t>
  </si>
  <si>
    <t>12/6/2023</t>
  </si>
  <si>
    <t>9/6/2023</t>
  </si>
  <si>
    <t>IGN-MON-035</t>
  </si>
  <si>
    <t>DELL 24(23.8) E2422H,16.9-1920X108</t>
  </si>
  <si>
    <t>IGN-TABLE-002734860</t>
  </si>
  <si>
    <t>TABLET</t>
  </si>
  <si>
    <t>IGN-TECL-002</t>
  </si>
  <si>
    <t>TECLADO</t>
  </si>
  <si>
    <t>17/5/2017</t>
  </si>
  <si>
    <t>IGN-TECL-005</t>
  </si>
  <si>
    <t>IGN-MON-008   734701</t>
  </si>
  <si>
    <t>IGN-MON-010   734703</t>
  </si>
  <si>
    <t>IGN-MON-012   734719</t>
  </si>
  <si>
    <r>
      <rPr>
        <sz val="8"/>
        <color rgb="FF000000"/>
        <rFont val="Times New Roman"/>
        <family val="1"/>
      </rPr>
      <t>IGN-LAPTOP-0</t>
    </r>
    <r>
      <rPr>
        <sz val="8"/>
        <color rgb="FF000000"/>
        <rFont val="Times New Roman"/>
        <family val="1"/>
      </rPr>
      <t>0</t>
    </r>
    <r>
      <rPr>
        <sz val="8"/>
        <color rgb="FF000000"/>
        <rFont val="Times New Roman"/>
        <family val="1"/>
      </rPr>
      <t>7</t>
    </r>
    <r>
      <rPr>
        <sz val="8"/>
        <color rgb="FF000000"/>
        <rFont val="Times New Roman"/>
        <family val="1"/>
      </rPr>
      <t>3</t>
    </r>
    <r>
      <rPr>
        <sz val="8"/>
        <color rgb="FF000000"/>
        <rFont val="Times New Roman"/>
        <family val="1"/>
      </rPr>
      <t>34753</t>
    </r>
  </si>
  <si>
    <r>
      <rPr>
        <sz val="8"/>
        <color rgb="FF000000"/>
        <rFont val="Times New Roman"/>
        <family val="1"/>
      </rPr>
      <t>LAPTOP</t>
    </r>
  </si>
  <si>
    <r>
      <rPr>
        <sz val="8"/>
        <color rgb="FF000000"/>
        <rFont val="Times New Roman"/>
        <family val="1"/>
      </rPr>
      <t>18/5/2017</t>
    </r>
  </si>
  <si>
    <r>
      <rPr>
        <sz val="8"/>
        <color rgb="FF000000"/>
        <rFont val="Times New Roman"/>
        <family val="1"/>
      </rPr>
      <t>13/10/2016</t>
    </r>
  </si>
  <si>
    <t>IGN-ROUT-004 734657</t>
  </si>
  <si>
    <t>PUNTO DE ACESSO</t>
  </si>
  <si>
    <t>IGN-MON-018</t>
  </si>
  <si>
    <t>IGN-MEMORIA-001</t>
  </si>
  <si>
    <t>MEMORIA RAM DE 8 GB</t>
  </si>
  <si>
    <t>IGN-UPS-016     734676</t>
  </si>
  <si>
    <t>IGN-MOU-005</t>
  </si>
  <si>
    <t>IGN-CPU-019</t>
  </si>
  <si>
    <t>IGN-DISC-007</t>
  </si>
  <si>
    <t>IGN-MEMORIA-006</t>
  </si>
  <si>
    <t>IGN-DISCO-007</t>
  </si>
  <si>
    <t>IGN-BATERIA-001</t>
  </si>
  <si>
    <t>IGN-SERV-001  734794</t>
  </si>
  <si>
    <t>SERV. METADATOS</t>
  </si>
  <si>
    <t>IGN-SWITCH-006</t>
  </si>
  <si>
    <t>IGN-CPU-001</t>
  </si>
  <si>
    <t>1GN-IMPRES-007134798</t>
  </si>
  <si>
    <t>IGN-TECL-003</t>
  </si>
  <si>
    <t>IGN-TECL-008</t>
  </si>
  <si>
    <t>IGN-TECL-010</t>
  </si>
  <si>
    <t>1GN-TECL-012</t>
  </si>
  <si>
    <t>IGN-LAPTOP-007434720</t>
  </si>
  <si>
    <t>IGN-LAPTOP-024</t>
  </si>
  <si>
    <t>LAPTOP PRESICION 3571 INTEL CORE I7</t>
  </si>
  <si>
    <t>IGN-MO-001      734742</t>
  </si>
  <si>
    <t>IGN-ROUT-007</t>
  </si>
  <si>
    <t>IGN-LAPTOP-017</t>
  </si>
  <si>
    <t>IGN-ROUT-005 734658</t>
  </si>
  <si>
    <t>PUNTO DE ACCESO</t>
  </si>
  <si>
    <t>IGN-COMP-003</t>
  </si>
  <si>
    <t>COMPUTADORA DE ALTOREMDIMIENTO  WOR</t>
  </si>
  <si>
    <t>3/8/2023</t>
  </si>
  <si>
    <t>IGN-CPU-021    734647</t>
  </si>
  <si>
    <t>IGN-HCPU-002</t>
  </si>
  <si>
    <t>IGN-MON-028</t>
  </si>
  <si>
    <t>Monitor</t>
  </si>
  <si>
    <t>IGN-LAPTOP-010</t>
  </si>
  <si>
    <t>DELL LATITUDE 3500,PANTALLA 15,6 PU</t>
  </si>
  <si>
    <t>IGN-CPU-023</t>
  </si>
  <si>
    <t>IGN-MON-038</t>
  </si>
  <si>
    <t>6/6/2023</t>
  </si>
  <si>
    <t>IGN-ROUT-001 734790</t>
  </si>
  <si>
    <t>ROUTER</t>
  </si>
  <si>
    <t>20/3/2018</t>
  </si>
  <si>
    <t>IGN-MON-0003 734817</t>
  </si>
  <si>
    <t>IGN-MON-005   734781</t>
  </si>
  <si>
    <t>IGN-CPU-007    734699</t>
  </si>
  <si>
    <t>IGN-MON-009   734745</t>
  </si>
  <si>
    <t>IGN-MON-011   734722</t>
  </si>
  <si>
    <t>IGN-MON-013   734702</t>
  </si>
  <si>
    <r>
      <rPr>
        <sz val="8"/>
        <color rgb="FF000000"/>
        <rFont val="Times New Roman"/>
        <family val="1"/>
      </rPr>
      <t>IGN-PANTAL-001</t>
    </r>
  </si>
  <si>
    <r>
      <rPr>
        <sz val="8"/>
        <color rgb="FF000000"/>
        <rFont val="Times New Roman"/>
        <family val="1"/>
      </rPr>
      <t>PANTALLA</t>
    </r>
    <r>
      <rPr>
        <sz val="8"/>
        <color rgb="FF000000"/>
        <rFont val="Times New Roman"/>
        <family val="1"/>
      </rPr>
      <t xml:space="preserve"> </t>
    </r>
    <r>
      <rPr>
        <sz val="8"/>
        <color rgb="FF000000"/>
        <rFont val="Times New Roman"/>
        <family val="1"/>
      </rPr>
      <t>PROYECTOR</t>
    </r>
  </si>
  <si>
    <t>IGN-MEMORIA-015</t>
  </si>
  <si>
    <t>IGN-MEMORIA-009</t>
  </si>
  <si>
    <t>IGN-MEMORIA-005</t>
  </si>
  <si>
    <t>IGN-SERV-003  734653</t>
  </si>
  <si>
    <t>SERVIDOR</t>
  </si>
  <si>
    <t>2/5/2018</t>
  </si>
  <si>
    <t>IGN-MON-021   734741</t>
  </si>
  <si>
    <t>IGN-LAPTOP-007734737</t>
  </si>
  <si>
    <t>LAPTOP DELL LATITUDE 5580</t>
  </si>
  <si>
    <t>IGN-CPU-014</t>
  </si>
  <si>
    <t>IGN-MOU-002</t>
  </si>
  <si>
    <t>MOUSE</t>
  </si>
  <si>
    <t>5/7/2018</t>
  </si>
  <si>
    <t>1/6/2018</t>
  </si>
  <si>
    <t>IGN-IMPRES-004734715</t>
  </si>
  <si>
    <t>29/6/2018</t>
  </si>
  <si>
    <t>IGN-MON-023   734649</t>
  </si>
  <si>
    <t>MONITOR FLAT DELL 19</t>
  </si>
  <si>
    <t>IGN-COMPU-004</t>
  </si>
  <si>
    <t>COMPUTADOR DE ALTO RENDIN¿MIENTO WO</t>
  </si>
  <si>
    <t>IGN-MON-029</t>
  </si>
  <si>
    <t>IGN-MON-004   734838</t>
  </si>
  <si>
    <t>IGN-MON-006   734776</t>
  </si>
  <si>
    <t>IGN-CPU-004    734839</t>
  </si>
  <si>
    <t>IGN-TECL-007</t>
  </si>
  <si>
    <t>IGN-TECL-009</t>
  </si>
  <si>
    <t>IGN-TECL-011</t>
  </si>
  <si>
    <t>IGN-TECL-013</t>
  </si>
  <si>
    <t>IGN-ESTAC-001734672</t>
  </si>
  <si>
    <t>ESTACION FOTOGRAMETRICA</t>
  </si>
  <si>
    <t>8/2/2018</t>
  </si>
  <si>
    <t>9/1/2018</t>
  </si>
  <si>
    <t>IGN-CPU-022</t>
  </si>
  <si>
    <t>IGN-MON-039</t>
  </si>
  <si>
    <t>IGN-FIREWAL-001</t>
  </si>
  <si>
    <t>FIREWALL</t>
  </si>
  <si>
    <t>IGN-LAPTOP-011</t>
  </si>
  <si>
    <t>IGN-MEMORIA-016</t>
  </si>
  <si>
    <t>IGN-MEMORIA-010</t>
  </si>
  <si>
    <t>IGN-UPS-024</t>
  </si>
  <si>
    <t>IGN-MON-015   734831</t>
  </si>
  <si>
    <t>4/5/2017</t>
  </si>
  <si>
    <t>IGN-ROUT-002 734791</t>
  </si>
  <si>
    <t>8/5/2018</t>
  </si>
  <si>
    <t>IGN-MON-022   734800</t>
  </si>
  <si>
    <t>IGN-LAPTOP-007834752</t>
  </si>
  <si>
    <t>LAPTOP DELL LATITUDE 5580 Y7</t>
  </si>
  <si>
    <t>IGN-UPS-020     734716</t>
  </si>
  <si>
    <t>IGN-CPU-015</t>
  </si>
  <si>
    <t>IGN-MOU-003</t>
  </si>
  <si>
    <t>IGN-IMPRES-003734729</t>
  </si>
  <si>
    <t>IGN-LAPTOP-012</t>
  </si>
  <si>
    <t>4/8/2021</t>
  </si>
  <si>
    <t>16/12/2020</t>
  </si>
  <si>
    <t>IGN-MON-024   734796</t>
  </si>
  <si>
    <t>DELL 19 VGA</t>
  </si>
  <si>
    <t>IGN-MON-025</t>
  </si>
  <si>
    <t>MONITOR DELL 19 PULG</t>
  </si>
  <si>
    <r>
      <rPr>
        <sz val="8"/>
        <color rgb="FF000000"/>
        <rFont val="Times New Roman"/>
        <family val="1"/>
      </rPr>
      <t>IGN-MON-040</t>
    </r>
  </si>
  <si>
    <r>
      <rPr>
        <sz val="8"/>
        <color rgb="FF000000"/>
        <rFont val="Times New Roman"/>
        <family val="1"/>
      </rPr>
      <t>MONITOR</t>
    </r>
    <r>
      <rPr>
        <sz val="8"/>
        <color rgb="FF000000"/>
        <rFont val="Times New Roman"/>
        <family val="1"/>
      </rPr>
      <t xml:space="preserve"> </t>
    </r>
    <r>
      <rPr>
        <sz val="8"/>
        <color rgb="FF000000"/>
        <rFont val="Times New Roman"/>
        <family val="1"/>
      </rPr>
      <t>DELL</t>
    </r>
    <r>
      <rPr>
        <sz val="8"/>
        <color rgb="FF000000"/>
        <rFont val="Times New Roman"/>
        <family val="1"/>
      </rPr>
      <t xml:space="preserve"> </t>
    </r>
    <r>
      <rPr>
        <sz val="8"/>
        <color rgb="FF000000"/>
        <rFont val="Times New Roman"/>
        <family val="1"/>
      </rPr>
      <t>24</t>
    </r>
    <r>
      <rPr>
        <sz val="8"/>
        <color rgb="FF000000"/>
        <rFont val="Times New Roman"/>
        <family val="1"/>
      </rPr>
      <t xml:space="preserve"> </t>
    </r>
    <r>
      <rPr>
        <sz val="8"/>
        <color rgb="FF000000"/>
        <rFont val="Times New Roman"/>
        <family val="1"/>
      </rPr>
      <t>E2422HS,LED</t>
    </r>
    <r>
      <rPr>
        <sz val="8"/>
        <color rgb="FF000000"/>
        <rFont val="Times New Roman"/>
        <family val="1"/>
      </rPr>
      <t xml:space="preserve"> </t>
    </r>
    <r>
      <rPr>
        <sz val="8"/>
        <color rgb="FF000000"/>
        <rFont val="Times New Roman"/>
        <family val="1"/>
      </rPr>
      <t>BACKLIT</t>
    </r>
  </si>
  <si>
    <r>
      <rPr>
        <sz val="8"/>
        <color rgb="FF000000"/>
        <rFont val="Times New Roman"/>
        <family val="1"/>
      </rPr>
      <t>12/6/2023</t>
    </r>
  </si>
  <si>
    <r>
      <rPr>
        <sz val="8"/>
        <color rgb="FF000000"/>
        <rFont val="Times New Roman"/>
        <family val="1"/>
      </rPr>
      <t>6/6/2023</t>
    </r>
  </si>
  <si>
    <t>IGN-IPAD-001</t>
  </si>
  <si>
    <t>IPAD PRO 11, 256 GB,SOLO WIFI. COVE</t>
  </si>
  <si>
    <t>IGN-LAPTOP-013</t>
  </si>
  <si>
    <t>IGN-UPS-013     734783</t>
  </si>
  <si>
    <t>IGN-MO-002      734675</t>
  </si>
  <si>
    <t>1/3/2018</t>
  </si>
  <si>
    <t>IGN-MON-030</t>
  </si>
  <si>
    <t>Monitor 24 pulgadas</t>
  </si>
  <si>
    <t>IGN-LAPTOP-019</t>
  </si>
  <si>
    <t>IGN-COMP-002</t>
  </si>
  <si>
    <t>COMPUTADORA DE ESCRITORIO DELL 3660</t>
  </si>
  <si>
    <t>1/7/2022</t>
  </si>
  <si>
    <t>30/6/2022</t>
  </si>
  <si>
    <t>IGN-SWITCH-002</t>
  </si>
  <si>
    <t>26/10/2023</t>
  </si>
  <si>
    <t>IGN-LAPTOP-007534738</t>
  </si>
  <si>
    <t>IGN-MON-007</t>
  </si>
  <si>
    <t>IGN-TECL-004</t>
  </si>
  <si>
    <t>IGN-UPS-005     734666</t>
  </si>
  <si>
    <t>IGN-LAPTOP-007134865</t>
  </si>
  <si>
    <t>IGN-MON-014</t>
  </si>
  <si>
    <t>IGN-DISC-004</t>
  </si>
  <si>
    <t>IGN-MEMORIA-017</t>
  </si>
  <si>
    <t>IGN-MEMORIA-011</t>
  </si>
  <si>
    <t>IGN-UPS-025</t>
  </si>
  <si>
    <t>IGN-TARJVD-001</t>
  </si>
  <si>
    <t>TARJETAD DE VIDEO EVGA GT1030</t>
  </si>
  <si>
    <t>IGN-LAPTOP-007934792</t>
  </si>
  <si>
    <t>IGN-UPS-021</t>
  </si>
  <si>
    <t>IGN-CPU-016</t>
  </si>
  <si>
    <t>IGN-IMPRES-005734814</t>
  </si>
  <si>
    <t>IGN-SWITCH-004</t>
  </si>
  <si>
    <t>IGN-MON-031</t>
  </si>
  <si>
    <t>IGN-LAPTOP-020</t>
  </si>
  <si>
    <t>IGN-MON-034</t>
  </si>
  <si>
    <t>IGN-DISCO-002</t>
  </si>
  <si>
    <t>24/4/2017</t>
  </si>
  <si>
    <t>IGN-ROUT-003 734656</t>
  </si>
  <si>
    <t>IGN-DISC-001</t>
  </si>
  <si>
    <t>IGN-MON-026</t>
  </si>
  <si>
    <t>IGN-MON-041</t>
  </si>
  <si>
    <t>IGN-TABLE-001734809</t>
  </si>
  <si>
    <t>IGN-TECL-001</t>
  </si>
  <si>
    <t>IGN-CPU-005    734782</t>
  </si>
  <si>
    <t>IGN-CPU-008    734700</t>
  </si>
  <si>
    <t>IGN-CPU-010    734704</t>
  </si>
  <si>
    <t>IGN-CPU-012    734740</t>
  </si>
  <si>
    <r>
      <rPr>
        <sz val="8"/>
        <color rgb="FF000000"/>
        <rFont val="Times New Roman"/>
        <family val="1"/>
      </rPr>
      <t>IGN-LAPTOP-0</t>
    </r>
    <r>
      <rPr>
        <sz val="8"/>
        <color rgb="FF000000"/>
        <rFont val="Times New Roman"/>
        <family val="1"/>
      </rPr>
      <t>0</t>
    </r>
    <r>
      <rPr>
        <sz val="8"/>
        <color rgb="FF000000"/>
        <rFont val="Times New Roman"/>
        <family val="1"/>
      </rPr>
      <t>7</t>
    </r>
    <r>
      <rPr>
        <sz val="8"/>
        <color rgb="FF000000"/>
        <rFont val="Times New Roman"/>
        <family val="1"/>
      </rPr>
      <t>2</t>
    </r>
    <r>
      <rPr>
        <sz val="8"/>
        <color rgb="FF000000"/>
        <rFont val="Times New Roman"/>
        <family val="1"/>
      </rPr>
      <t>94808</t>
    </r>
  </si>
  <si>
    <t>IGN-TECL-006</t>
  </si>
  <si>
    <t>IGN-DISCO-003</t>
  </si>
  <si>
    <t>23/10/2017</t>
  </si>
  <si>
    <t>14/8/2017</t>
  </si>
  <si>
    <t>IGN-MON-032</t>
  </si>
  <si>
    <t>IGN-DISC-005</t>
  </si>
  <si>
    <t>IGN-MEMORIA-018</t>
  </si>
  <si>
    <t>IGN-MEMORIA-012</t>
  </si>
  <si>
    <t>IGN-UPS-026</t>
  </si>
  <si>
    <t>IGN-MON-016   734761</t>
  </si>
  <si>
    <t>13/8/2018</t>
  </si>
  <si>
    <t>IGN-TARJVD-002</t>
  </si>
  <si>
    <t>IGN-UPS-014     734673</t>
  </si>
  <si>
    <t>UPS 1500 VA</t>
  </si>
  <si>
    <t>IGN-UPS-022     734724</t>
  </si>
  <si>
    <t>IGN-CPU-017</t>
  </si>
  <si>
    <t>IGN-MOU-001</t>
  </si>
  <si>
    <t>IGN-DISCO-005</t>
  </si>
  <si>
    <t>IGN-LAPTOP-014</t>
  </si>
  <si>
    <r>
      <rPr>
        <b/>
        <sz val="8"/>
        <color rgb="FF000000"/>
        <rFont val="Times New Roman"/>
        <family val="1"/>
      </rPr>
      <t>SubTotal:</t>
    </r>
    <r>
      <rPr>
        <b/>
        <sz val="8"/>
        <color rgb="FF000000"/>
        <rFont val="Times New Roman"/>
        <family val="1"/>
      </rPr>
      <t xml:space="preserve"> </t>
    </r>
    <r>
      <rPr>
        <b/>
        <sz val="8"/>
        <color rgb="FF000000"/>
        <rFont val="Times New Roman"/>
        <family val="1"/>
      </rPr>
      <t>Equipos</t>
    </r>
    <r>
      <rPr>
        <b/>
        <sz val="8"/>
        <color rgb="FF000000"/>
        <rFont val="Times New Roman"/>
        <family val="1"/>
      </rPr>
      <t xml:space="preserve"> </t>
    </r>
    <r>
      <rPr>
        <b/>
        <sz val="8"/>
        <color rgb="FF000000"/>
        <rFont val="Times New Roman"/>
        <family val="1"/>
      </rPr>
      <t>de</t>
    </r>
    <r>
      <rPr>
        <b/>
        <sz val="8"/>
        <color rgb="FF000000"/>
        <rFont val="Times New Roman"/>
        <family val="1"/>
      </rPr>
      <t xml:space="preserve"> </t>
    </r>
    <r>
      <rPr>
        <b/>
        <sz val="8"/>
        <color rgb="FF000000"/>
        <rFont val="Times New Roman"/>
        <family val="1"/>
      </rPr>
      <t>seguridad</t>
    </r>
  </si>
  <si>
    <t>IGN-CONTR/B-002</t>
  </si>
  <si>
    <t>Control Biometrico Soporte Huella D</t>
  </si>
  <si>
    <t>SubTotal: Herramientas y máquinas-herramientas</t>
  </si>
  <si>
    <t>IGN-ROTOMARTILLO-001</t>
  </si>
  <si>
    <t>ROTOMARTILLO DE 1-1/8 Y 36V  CON TO</t>
  </si>
  <si>
    <t>23/11/2022</t>
  </si>
  <si>
    <t>3/11/2022</t>
  </si>
  <si>
    <t>SubTotal: Maquinaria y equipo industrial</t>
  </si>
  <si>
    <t>IGN-TAL-001    734862</t>
  </si>
  <si>
    <t>TALADRO</t>
  </si>
  <si>
    <t>IGN-ASPIRAD-001</t>
  </si>
  <si>
    <t>Aspiradora/Sopladara  para computad</t>
  </si>
  <si>
    <t>SubTotal: Muebles de alojamiento</t>
  </si>
  <si>
    <t>IGN-SEP/CUB-009</t>
  </si>
  <si>
    <t>SEPARADOR DE CUBICULO EN CRISTAL</t>
  </si>
  <si>
    <t>11/5/2017</t>
  </si>
  <si>
    <t>IGN-SEP/CUB-001</t>
  </si>
  <si>
    <t>IGN-SEP/CUB-010</t>
  </si>
  <si>
    <t>IGN-SEP/CUB-003</t>
  </si>
  <si>
    <t>IGN-PANEL-002734682</t>
  </si>
  <si>
    <t>PANEL DE METAL</t>
  </si>
  <si>
    <t>IGN-SEP/ESC-002</t>
  </si>
  <si>
    <t>IGN-PANEL-001734667</t>
  </si>
  <si>
    <t>IGN-SEP/CUB-004</t>
  </si>
  <si>
    <t>IGN-PANEL-003734694</t>
  </si>
  <si>
    <t>IGN-SEP/CUB-005</t>
  </si>
  <si>
    <t>IGN-PANEL-004734707</t>
  </si>
  <si>
    <r>
      <rPr>
        <sz val="8"/>
        <color rgb="FF000000"/>
        <rFont val="Times New Roman"/>
        <family val="1"/>
      </rPr>
      <t>IGN-SEP/CUB-006</t>
    </r>
  </si>
  <si>
    <r>
      <rPr>
        <sz val="8"/>
        <color rgb="FF000000"/>
        <rFont val="Times New Roman"/>
        <family val="1"/>
      </rPr>
      <t>SEPARADOR</t>
    </r>
    <r>
      <rPr>
        <sz val="8"/>
        <color rgb="FF000000"/>
        <rFont val="Times New Roman"/>
        <family val="1"/>
      </rPr>
      <t xml:space="preserve"> </t>
    </r>
    <r>
      <rPr>
        <sz val="8"/>
        <color rgb="FF000000"/>
        <rFont val="Times New Roman"/>
        <family val="1"/>
      </rPr>
      <t>CUBICULO</t>
    </r>
    <r>
      <rPr>
        <sz val="8"/>
        <color rgb="FF000000"/>
        <rFont val="Times New Roman"/>
        <family val="1"/>
      </rPr>
      <t xml:space="preserve"> </t>
    </r>
    <r>
      <rPr>
        <sz val="8"/>
        <color rgb="FF000000"/>
        <rFont val="Times New Roman"/>
        <family val="1"/>
      </rPr>
      <t>EN</t>
    </r>
    <r>
      <rPr>
        <sz val="8"/>
        <color rgb="FF000000"/>
        <rFont val="Times New Roman"/>
        <family val="1"/>
      </rPr>
      <t xml:space="preserve"> </t>
    </r>
    <r>
      <rPr>
        <sz val="8"/>
        <color rgb="FF000000"/>
        <rFont val="Times New Roman"/>
        <family val="1"/>
      </rPr>
      <t>CRISTAL</t>
    </r>
  </si>
  <si>
    <r>
      <rPr>
        <sz val="8"/>
        <color rgb="FF000000"/>
        <rFont val="Times New Roman"/>
        <family val="1"/>
      </rPr>
      <t>1/11/2016</t>
    </r>
  </si>
  <si>
    <t>IGN-SEP/CUB-008</t>
  </si>
  <si>
    <t>IGN-SEP/CUB-007</t>
  </si>
  <si>
    <t>SubTotal: Muebles de oficina y estantería</t>
  </si>
  <si>
    <t>IGN-SILLA/S-01734757</t>
  </si>
  <si>
    <t>SILLA SECRETARIAL</t>
  </si>
  <si>
    <t>IGN-GABIN-007734763</t>
  </si>
  <si>
    <t>GABINETE</t>
  </si>
  <si>
    <t>IGN-ARCHIVO-070394735</t>
  </si>
  <si>
    <t>ARCHIVO CON RUEDAS</t>
  </si>
  <si>
    <t>IGN-ESC/CUB-07034832</t>
  </si>
  <si>
    <t>ESCRITORIO DE CUBICULO</t>
  </si>
  <si>
    <t>IGN-SILLON-016734681</t>
  </si>
  <si>
    <t>SILLON SEMI EJECUTIVO (B154A03)</t>
  </si>
  <si>
    <t>24/10/2018</t>
  </si>
  <si>
    <t>2/10/2018</t>
  </si>
  <si>
    <t>IGN-ARCHIVO-07134774</t>
  </si>
  <si>
    <t>ARCHIVO DE 3 GABETAS CON LLAVIN</t>
  </si>
  <si>
    <t>23/8/2018</t>
  </si>
  <si>
    <t>20/7/2018</t>
  </si>
  <si>
    <t>IGN-ARCHIVO-019</t>
  </si>
  <si>
    <t>ARCHIVO MODULAR METAL 3 GAY CON RUE</t>
  </si>
  <si>
    <t>18/2/2021</t>
  </si>
  <si>
    <t>24/11/2020</t>
  </si>
  <si>
    <t>IGN-GABIN-014734793</t>
  </si>
  <si>
    <t>GABINETE PARA SERVIDOR</t>
  </si>
  <si>
    <t>30/6/2017</t>
  </si>
  <si>
    <t>IGN-BUZON-002</t>
  </si>
  <si>
    <t>BUZON DE DENUNCIA</t>
  </si>
  <si>
    <t>IGN-BASE-005</t>
  </si>
  <si>
    <t>BASE DE METAL CS-02</t>
  </si>
  <si>
    <t>25/6/2018</t>
  </si>
  <si>
    <t>IGN-SILLA/S 037</t>
  </si>
  <si>
    <t>SILLA SECRETARIAL EN MALLA Y TELA C</t>
  </si>
  <si>
    <t>9/12/2022</t>
  </si>
  <si>
    <t>8/12/2022</t>
  </si>
  <si>
    <t>IGN-ARCHIVO-071314643</t>
  </si>
  <si>
    <t>ARCHIVO</t>
  </si>
  <si>
    <t>IGN-ESCRIT-003734754</t>
  </si>
  <si>
    <t>ESCRITORIO 63X28</t>
  </si>
  <si>
    <t>16/5/2019</t>
  </si>
  <si>
    <t>23/4/2019</t>
  </si>
  <si>
    <t>IGN-ARCHIVO-016</t>
  </si>
  <si>
    <t>ARCHIVO DE METAL 8.5 *13</t>
  </si>
  <si>
    <t>1/11/2019</t>
  </si>
  <si>
    <t>2/9/2019</t>
  </si>
  <si>
    <t>IGN-ARCHIVO-070334671</t>
  </si>
  <si>
    <t>IGN-SILLA-003</t>
  </si>
  <si>
    <t>SILLON EJECUTIVOS</t>
  </si>
  <si>
    <t>IGN-ESC/CUB-070384767</t>
  </si>
  <si>
    <t>5/5/2017</t>
  </si>
  <si>
    <t>IGN-ESC/CUB-071364759</t>
  </si>
  <si>
    <t>IGN-SILLA/S-034</t>
  </si>
  <si>
    <t>SILLA SECRETARIAL TELA DE MALLA</t>
  </si>
  <si>
    <t>19/11/2019</t>
  </si>
  <si>
    <t>6/11/2019</t>
  </si>
  <si>
    <t>IGN-CREDEN-003</t>
  </si>
  <si>
    <t>MUEBLE BAJO MA7 DE 16X31 COLOR GRIS</t>
  </si>
  <si>
    <t>9/3/2023</t>
  </si>
  <si>
    <t>24/2/2023</t>
  </si>
  <si>
    <t>IGN-SILLA/S-010</t>
  </si>
  <si>
    <t>IGN-GABIN-008734664</t>
  </si>
  <si>
    <t>IGN-GABIN-006734662</t>
  </si>
  <si>
    <t>IGN-ESC/CUB-070344668</t>
  </si>
  <si>
    <t>IGN-SILLA/S-027234680</t>
  </si>
  <si>
    <t>SILLA SECRETARIAL CON BRAZOS</t>
  </si>
  <si>
    <t>23/10/2018</t>
  </si>
  <si>
    <t>IGN-PODIUM-001</t>
  </si>
  <si>
    <t>PODIUM DM ACRIL DE 3/4 3/8 1/4 1/8</t>
  </si>
  <si>
    <t>5/12/2018</t>
  </si>
  <si>
    <t>30/11/2018</t>
  </si>
  <si>
    <t>IGN-CREDENZ-004</t>
  </si>
  <si>
    <t>IGN-ARCHIVO-015</t>
  </si>
  <si>
    <t>IGN-ARCHIVO-020</t>
  </si>
  <si>
    <t>ARCHIVO MODULAR METAL 3 GAY. CON RU</t>
  </si>
  <si>
    <t>IGN-BASE-006</t>
  </si>
  <si>
    <t>IGN-ESCRIT-004</t>
  </si>
  <si>
    <t>ESCRITORIO ESTRUCT EN METAL Y TOPE</t>
  </si>
  <si>
    <t>IGN-ARCHIVO-07034696</t>
  </si>
  <si>
    <t>IGN-SILLA-004</t>
  </si>
  <si>
    <t>IGN-ESC/CUB-070394768</t>
  </si>
  <si>
    <r>
      <rPr>
        <sz val="8"/>
        <color rgb="FF000000"/>
        <rFont val="Times New Roman"/>
        <family val="1"/>
      </rPr>
      <t>IGN-ESC/CUB-</t>
    </r>
    <r>
      <rPr>
        <sz val="8"/>
        <color rgb="FF000000"/>
        <rFont val="Times New Roman"/>
        <family val="1"/>
      </rPr>
      <t>0</t>
    </r>
    <r>
      <rPr>
        <sz val="8"/>
        <color rgb="FF000000"/>
        <rFont val="Times New Roman"/>
        <family val="1"/>
      </rPr>
      <t>7</t>
    </r>
    <r>
      <rPr>
        <sz val="8"/>
        <color rgb="FF000000"/>
        <rFont val="Times New Roman"/>
        <family val="1"/>
      </rPr>
      <t>1</t>
    </r>
    <r>
      <rPr>
        <sz val="8"/>
        <color rgb="FF000000"/>
        <rFont val="Times New Roman"/>
        <family val="1"/>
      </rPr>
      <t>3</t>
    </r>
    <r>
      <rPr>
        <sz val="8"/>
        <color rgb="FF000000"/>
        <rFont val="Times New Roman"/>
        <family val="1"/>
      </rPr>
      <t>7</t>
    </r>
    <r>
      <rPr>
        <sz val="8"/>
        <color rgb="FF000000"/>
        <rFont val="Times New Roman"/>
        <family val="1"/>
      </rPr>
      <t>4760</t>
    </r>
  </si>
  <si>
    <r>
      <rPr>
        <sz val="8"/>
        <color rgb="FF000000"/>
        <rFont val="Times New Roman"/>
        <family val="1"/>
      </rPr>
      <t>ESCRITORIO</t>
    </r>
    <r>
      <rPr>
        <sz val="8"/>
        <color rgb="FF000000"/>
        <rFont val="Times New Roman"/>
        <family val="1"/>
      </rPr>
      <t xml:space="preserve"> </t>
    </r>
    <r>
      <rPr>
        <sz val="8"/>
        <color rgb="FF000000"/>
        <rFont val="Times New Roman"/>
        <family val="1"/>
      </rPr>
      <t>DE</t>
    </r>
    <r>
      <rPr>
        <sz val="8"/>
        <color rgb="FF000000"/>
        <rFont val="Times New Roman"/>
        <family val="1"/>
      </rPr>
      <t xml:space="preserve"> </t>
    </r>
    <r>
      <rPr>
        <sz val="8"/>
        <color rgb="FF000000"/>
        <rFont val="Times New Roman"/>
        <family val="1"/>
      </rPr>
      <t>CUBICULO</t>
    </r>
  </si>
  <si>
    <r>
      <rPr>
        <sz val="8"/>
        <color rgb="FF000000"/>
        <rFont val="Times New Roman"/>
        <family val="1"/>
      </rPr>
      <t>5/5/2017</t>
    </r>
  </si>
  <si>
    <t>IGN-SILLA/S-035</t>
  </si>
  <si>
    <t>IGN-SILLA/S-016</t>
  </si>
  <si>
    <t>IGN-GABIN-005734661</t>
  </si>
  <si>
    <t>IGN-ARCHIVO-070324815</t>
  </si>
  <si>
    <t>IGN-SILLA-002</t>
  </si>
  <si>
    <t>IGN-ESC/CUB-070374766</t>
  </si>
  <si>
    <t>IGN-ESC/CUB-071354758</t>
  </si>
  <si>
    <t>IGN-SILLON-022</t>
  </si>
  <si>
    <t>SILLON EJECUTIVO ERGONOMICO CON AJU</t>
  </si>
  <si>
    <t>25/8/2022</t>
  </si>
  <si>
    <t>22/8/2022</t>
  </si>
  <si>
    <t>IGN-SILLON-015734690</t>
  </si>
  <si>
    <t>IGN-ARCHIVO-070384705</t>
  </si>
  <si>
    <t>IGN-ESTANTE-070344734</t>
  </si>
  <si>
    <t>ESTANTE LIBRERO</t>
  </si>
  <si>
    <t>IGN-MODULO-001</t>
  </si>
  <si>
    <t>MODULO RODANTE 3 GABETAS COLOR SILV</t>
  </si>
  <si>
    <t>IGN-ARCHIVO-071334825</t>
  </si>
  <si>
    <t>ARCHIVO DE 3 GAVETAS CON LLAVIN</t>
  </si>
  <si>
    <t>IGN-BASE-004</t>
  </si>
  <si>
    <t>IGN-SILLA/S-027434755</t>
  </si>
  <si>
    <t>SILLA SECRETARIAL CON BRAZOS EN PIE</t>
  </si>
  <si>
    <t>IGN-SILLA/S-02734858</t>
  </si>
  <si>
    <t>SILLON SECRETARIAL TELA DE MALLA</t>
  </si>
  <si>
    <t>11/9/2019</t>
  </si>
  <si>
    <t>27/8/2019</t>
  </si>
  <si>
    <t>IGN-SILLA/S 028</t>
  </si>
  <si>
    <t>SILLAN SECRETARIAL  EN MALLA Y TEL</t>
  </si>
  <si>
    <t>IGN-SILLA/S-033</t>
  </si>
  <si>
    <t>IGN-SILLA/S-017534747</t>
  </si>
  <si>
    <t>IGN-GABIN-004734660</t>
  </si>
  <si>
    <t>IGN-GABIN-013734749</t>
  </si>
  <si>
    <t>IGN-SILLON-021</t>
  </si>
  <si>
    <t>SILLON SEMI EJECUTIVO ERGONOMICO AJ</t>
  </si>
  <si>
    <t>IGN-ESTANTE-070334709</t>
  </si>
  <si>
    <t>IGN-SILLON-014734806</t>
  </si>
  <si>
    <t>IGN-SILLON-0030</t>
  </si>
  <si>
    <t>SILLON SEMI EJECUTIVO ERGONOMICO CO</t>
  </si>
  <si>
    <t>14/6/2023</t>
  </si>
  <si>
    <t>IGN-SILLA/S-032</t>
  </si>
  <si>
    <t>IGN-ARCHIVO-070314829</t>
  </si>
  <si>
    <t>IGN-ESC/CUB-070364765</t>
  </si>
  <si>
    <t>IGN-ESC/CUB-071344771</t>
  </si>
  <si>
    <t>IGN-ARCHIVO-071324644</t>
  </si>
  <si>
    <t>ARCHIVO 3 GAVETAS CON LLAVIN</t>
  </si>
  <si>
    <t>IGN-SILLON-004</t>
  </si>
  <si>
    <t>SILLON EJECUTIVO</t>
  </si>
  <si>
    <t>16/2/2021</t>
  </si>
  <si>
    <t>2/12/2020</t>
  </si>
  <si>
    <t>IGN-SILLON-024</t>
  </si>
  <si>
    <t>SILLON SEMI EJECUTIVO JXP-5 EN TELA</t>
  </si>
  <si>
    <t>IGN-BASE-003</t>
  </si>
  <si>
    <t>IGN-BUZON-001</t>
  </si>
  <si>
    <t>BUZON DE SUGERENCIA</t>
  </si>
  <si>
    <t>28/4/2017</t>
  </si>
  <si>
    <t>IGN-SILLA/S-027334833</t>
  </si>
  <si>
    <t>IGN-SILLA/S-027634857</t>
  </si>
  <si>
    <t>IGN-GABIN-002734822</t>
  </si>
  <si>
    <t>IGN-GABIN-011734714</t>
  </si>
  <si>
    <r>
      <rPr>
        <sz val="8"/>
        <color rgb="FF000000"/>
        <rFont val="Times New Roman"/>
        <family val="1"/>
      </rPr>
      <t>IGN-ARCHIVO-021</t>
    </r>
  </si>
  <si>
    <r>
      <rPr>
        <sz val="8"/>
        <color rgb="FF000000"/>
        <rFont val="Times New Roman"/>
        <family val="1"/>
      </rPr>
      <t>ARCHIVO</t>
    </r>
    <r>
      <rPr>
        <sz val="8"/>
        <color rgb="FF000000"/>
        <rFont val="Times New Roman"/>
        <family val="1"/>
      </rPr>
      <t xml:space="preserve"> </t>
    </r>
    <r>
      <rPr>
        <sz val="8"/>
        <color rgb="FF000000"/>
        <rFont val="Times New Roman"/>
        <family val="1"/>
      </rPr>
      <t>4</t>
    </r>
    <r>
      <rPr>
        <sz val="8"/>
        <color rgb="FF000000"/>
        <rFont val="Times New Roman"/>
        <family val="1"/>
      </rPr>
      <t xml:space="preserve"> </t>
    </r>
    <r>
      <rPr>
        <sz val="8"/>
        <color rgb="FF000000"/>
        <rFont val="Times New Roman"/>
        <family val="1"/>
      </rPr>
      <t>GAVETAS</t>
    </r>
    <r>
      <rPr>
        <sz val="8"/>
        <color rgb="FF000000"/>
        <rFont val="Times New Roman"/>
        <family val="1"/>
      </rPr>
      <t xml:space="preserve"> </t>
    </r>
    <r>
      <rPr>
        <sz val="8"/>
        <color rgb="FF000000"/>
        <rFont val="Times New Roman"/>
        <family val="1"/>
      </rPr>
      <t>EN</t>
    </r>
    <r>
      <rPr>
        <sz val="8"/>
        <color rgb="FF000000"/>
        <rFont val="Times New Roman"/>
        <family val="1"/>
      </rPr>
      <t xml:space="preserve"> </t>
    </r>
    <r>
      <rPr>
        <sz val="8"/>
        <color rgb="FF000000"/>
        <rFont val="Times New Roman"/>
        <family val="1"/>
      </rPr>
      <t>METAL</t>
    </r>
  </si>
  <si>
    <r>
      <rPr>
        <sz val="8"/>
        <color rgb="FF000000"/>
        <rFont val="Times New Roman"/>
        <family val="1"/>
      </rPr>
      <t>25/8/2022</t>
    </r>
  </si>
  <si>
    <r>
      <rPr>
        <sz val="8"/>
        <color rgb="FF000000"/>
        <rFont val="Times New Roman"/>
        <family val="1"/>
      </rPr>
      <t>22/8/2022</t>
    </r>
  </si>
  <si>
    <t>IGN-ESC/EJE-007234837</t>
  </si>
  <si>
    <t>ESCRITORIO EJECUTIVO</t>
  </si>
  <si>
    <t>IGN-ARCHIVO-070374706</t>
  </si>
  <si>
    <t>IGN-ESCRIT-001734823</t>
  </si>
  <si>
    <t>IGN-ESC/CUB-071324773</t>
  </si>
  <si>
    <t>IGN-SILLON-012734674</t>
  </si>
  <si>
    <t>SILLON EJECUTIVO MODELO (A197A01W4)</t>
  </si>
  <si>
    <t>IGN-ESC/EJE-007534718</t>
  </si>
  <si>
    <t>ESCCRITORIO EJECUTIVO</t>
  </si>
  <si>
    <t>IGN-CREDEN-007234730</t>
  </si>
  <si>
    <t>CREDENZA</t>
  </si>
  <si>
    <t>IGN-BASE-001</t>
  </si>
  <si>
    <t>4/7/2018</t>
  </si>
  <si>
    <t>IGN-BASE-009</t>
  </si>
  <si>
    <t>IGN-SILLON-009734816</t>
  </si>
  <si>
    <t>IGN-SILLON-01734692</t>
  </si>
  <si>
    <t>SILLÓN EJECUTIVO CON BRAZOS</t>
  </si>
  <si>
    <t>IGN-ARCHIVO-022</t>
  </si>
  <si>
    <t>ARCHIVO DE 3 GABETAS EN METAL</t>
  </si>
  <si>
    <t>IGN-SILLA/S-030</t>
  </si>
  <si>
    <t>IGN-ARCHIVO-018</t>
  </si>
  <si>
    <t>ARCHIVO AEREO DE METAL 17*28</t>
  </si>
  <si>
    <t>IGN-GABIN-017</t>
  </si>
  <si>
    <t>ARCHIVO AEREO</t>
  </si>
  <si>
    <t>30/11/2020</t>
  </si>
  <si>
    <t>IGN-SILLON/S-21</t>
  </si>
  <si>
    <t>IGN-SILLON-0028</t>
  </si>
  <si>
    <t>IGN-SILLA/S-017434731</t>
  </si>
  <si>
    <t>IGN-GABIN-003734835</t>
  </si>
  <si>
    <t>IGN-GABIN-012734746</t>
  </si>
  <si>
    <t>IGN-SILLON-013</t>
  </si>
  <si>
    <t>IGN-ESTANTE-070324688</t>
  </si>
  <si>
    <t>IGN-SILLA/S-027034726</t>
  </si>
  <si>
    <t>IGN-ESTANE-007134780</t>
  </si>
  <si>
    <t>IGN-ARCHIVO-071304727</t>
  </si>
  <si>
    <t>IGN-ESCRIT-002734824</t>
  </si>
  <si>
    <t>IGN-ESC/CUB-013</t>
  </si>
  <si>
    <t>IGN-SILLON-020</t>
  </si>
  <si>
    <t>IGN-SILLON-0029</t>
  </si>
  <si>
    <t>IGN-SILLA/S-031</t>
  </si>
  <si>
    <t>IGN-ARMARIO-001</t>
  </si>
  <si>
    <t>ARMARIO DE METAL 36 DE ANCHO 71 DE</t>
  </si>
  <si>
    <t>IGN-BASE-002</t>
  </si>
  <si>
    <t>IGN-BASE-010</t>
  </si>
  <si>
    <t>IGN-SILLA/S-027134828</t>
  </si>
  <si>
    <t>SILLA PARA EJECUTIVA CON BRAZOS</t>
  </si>
  <si>
    <t>IGN-SILLON-003</t>
  </si>
  <si>
    <t>IGN-SILLON-023</t>
  </si>
  <si>
    <t>IGN-SILLON-018</t>
  </si>
  <si>
    <t>IGN-SILLA/S-027534856</t>
  </si>
  <si>
    <r>
      <rPr>
        <sz val="8"/>
        <color rgb="FF000000"/>
        <rFont val="Times New Roman"/>
        <family val="1"/>
      </rPr>
      <t>IGN-GABIN-00</t>
    </r>
    <r>
      <rPr>
        <sz val="8"/>
        <color rgb="FF000000"/>
        <rFont val="Times New Roman"/>
        <family val="1"/>
      </rPr>
      <t>1</t>
    </r>
    <r>
      <rPr>
        <sz val="8"/>
        <color rgb="FF000000"/>
        <rFont val="Times New Roman"/>
        <family val="1"/>
      </rPr>
      <t>734821</t>
    </r>
  </si>
  <si>
    <r>
      <rPr>
        <sz val="8"/>
        <color rgb="FF000000"/>
        <rFont val="Times New Roman"/>
        <family val="1"/>
      </rPr>
      <t>GABINETE</t>
    </r>
  </si>
  <si>
    <r>
      <rPr>
        <sz val="8"/>
        <color rgb="FF000000"/>
        <rFont val="Times New Roman"/>
        <family val="1"/>
      </rPr>
      <t>11/5/2017</t>
    </r>
  </si>
  <si>
    <t>IGN-GABIN-010734713</t>
  </si>
  <si>
    <t>IGN-SILLON-011734678</t>
  </si>
  <si>
    <t>IGN-ESC/EJE-007434717</t>
  </si>
  <si>
    <t>IGN-CREDEN-007134659</t>
  </si>
  <si>
    <t>IGN-BASE-008</t>
  </si>
  <si>
    <t>IGN-SILLON-008734726</t>
  </si>
  <si>
    <t>IGN-SILLA/S-029</t>
  </si>
  <si>
    <t>IGN-ARCHIVO-017</t>
  </si>
  <si>
    <t>IGN-ESC/EJE-007134836</t>
  </si>
  <si>
    <t>IGN-ARCHIVO-070364695</t>
  </si>
  <si>
    <t>IGN-SILLA-006 734712</t>
  </si>
  <si>
    <t>IGN-ESC/CUB-071314772</t>
  </si>
  <si>
    <t>IGN-ESCRIT-006</t>
  </si>
  <si>
    <t>ESCRITORIO ESTRUCT EN MENTAL Y TOPE</t>
  </si>
  <si>
    <t>ING-GABIN-016</t>
  </si>
  <si>
    <t>IGN-ESC/CUB-019</t>
  </si>
  <si>
    <t>ESCRITORIOS MODULARES</t>
  </si>
  <si>
    <t>8/9/2022</t>
  </si>
  <si>
    <t>IGN-SILLON-0027</t>
  </si>
  <si>
    <t>IGN-GABIN-009734665</t>
  </si>
  <si>
    <t>IGN-SILLON-019</t>
  </si>
  <si>
    <t>Sillon Gerencial ERA Ejecutivo</t>
  </si>
  <si>
    <t>17/5/2021</t>
  </si>
  <si>
    <t>20/4/2021</t>
  </si>
  <si>
    <t>IGN-ESC/EJE-007334710</t>
  </si>
  <si>
    <t>IGN-ESC/CUB-070354764</t>
  </si>
  <si>
    <t>IGN-SILLON-010734784</t>
  </si>
  <si>
    <t>IGN-ARCHIVO-070354797</t>
  </si>
  <si>
    <t>IGN-SILLA-005 734736</t>
  </si>
  <si>
    <t>IGN-ESC/CUB-071304769</t>
  </si>
  <si>
    <t>IGN-ESC/CUB-018</t>
  </si>
  <si>
    <t>IGN-ESCRIT-005</t>
  </si>
  <si>
    <t>IGN-PUERTA-001</t>
  </si>
  <si>
    <t>PUERTA DE CRISTAL</t>
  </si>
  <si>
    <t>26/6/2017</t>
  </si>
  <si>
    <t>IGN-GABIN-015</t>
  </si>
  <si>
    <t>17/2/2021</t>
  </si>
  <si>
    <t>IGN-BASE-007</t>
  </si>
  <si>
    <t>IGN-SILLON-00734645</t>
  </si>
  <si>
    <t>IGN-SILLON-0026</t>
  </si>
  <si>
    <t>IGN-SILLA/S-028</t>
  </si>
  <si>
    <t>IGN-SILLA/S-036</t>
  </si>
  <si>
    <t>SubTotal: Otros equipos de transporte</t>
  </si>
  <si>
    <t>IGN-MOTO-002 000-7622</t>
  </si>
  <si>
    <t>MOTOR</t>
  </si>
  <si>
    <t>8/9/2017</t>
  </si>
  <si>
    <t>IGN-MOTOR-002</t>
  </si>
  <si>
    <t>MOTOCICLETA ME4JC782APD004300</t>
  </si>
  <si>
    <t>11/7/2023</t>
  </si>
  <si>
    <t>IGN-MOTOR-001000-7623</t>
  </si>
  <si>
    <t>MOTOCICLETA</t>
  </si>
  <si>
    <t>SubTotal: Otros mobiliarios y equipos no identificados prece</t>
  </si>
  <si>
    <t>IGN-ENC-001</t>
  </si>
  <si>
    <t>ENCUADERNADORA DE ESPIRAL</t>
  </si>
  <si>
    <t>1/3/2017</t>
  </si>
  <si>
    <t>IGN-ROTUL-001734820</t>
  </si>
  <si>
    <t>ROTULADOR</t>
  </si>
  <si>
    <t>IGN-EXTINTOR7-0314812</t>
  </si>
  <si>
    <t>EXTINTOR DE CO2 DE 10 LBS</t>
  </si>
  <si>
    <t>7/9/2018</t>
  </si>
  <si>
    <t>IGN-SUMADORA-01</t>
  </si>
  <si>
    <t>Sumadora Sharp de Escritorio EL-263</t>
  </si>
  <si>
    <t>8/7/2021</t>
  </si>
  <si>
    <t>IGN-GUIL-001</t>
  </si>
  <si>
    <t>IGN-GUIL-002</t>
  </si>
  <si>
    <t>IGN-EXTINTOR7-0324811</t>
  </si>
  <si>
    <t>EXTINTOR HALOTRON DE 10 LBS</t>
  </si>
  <si>
    <t>SubTotal: Programas de informática y base de datos</t>
  </si>
  <si>
    <t>IGN-LIC-V-002</t>
  </si>
  <si>
    <t>WINSVRCAL 2019</t>
  </si>
  <si>
    <t>4/12/2019</t>
  </si>
  <si>
    <t>19/6/2019</t>
  </si>
  <si>
    <t>IGN-SER-001</t>
  </si>
  <si>
    <t>WINSVRSSTDCORE 2019</t>
  </si>
  <si>
    <t>IGN-ANTIV-002</t>
  </si>
  <si>
    <t>FORTICLIENT ENTERPRISE MANAGEMENT S</t>
  </si>
  <si>
    <t>IGN-PAG-WEB-001</t>
  </si>
  <si>
    <t>PAGINA WEB INSTITUCIONAL</t>
  </si>
  <si>
    <t>17/7/2017</t>
  </si>
  <si>
    <t>IGN-OFIC-004</t>
  </si>
  <si>
    <t>Microsoft 365 Business Basic</t>
  </si>
  <si>
    <t>2/11/2020</t>
  </si>
  <si>
    <t>14/9/2020</t>
  </si>
  <si>
    <t>IGN-LIC-V-003</t>
  </si>
  <si>
    <t>Microsoft Windows Server CAL 2019</t>
  </si>
  <si>
    <t>28/9/2020</t>
  </si>
  <si>
    <t>IGN-ANTIV-001</t>
  </si>
  <si>
    <t>LICENCIA ANTIVIRUS</t>
  </si>
  <si>
    <t>IGN-LIC-V-001</t>
  </si>
  <si>
    <t>LICENCIA VIRTUAL</t>
  </si>
  <si>
    <t>13/3/2017</t>
  </si>
  <si>
    <t>IGN-ARCGIS-001</t>
  </si>
  <si>
    <t>ARCGIS DESKTOP ADVANCED BLOQUE DE 1</t>
  </si>
  <si>
    <t>27/12/2019</t>
  </si>
  <si>
    <t>IGN-OFIC-003</t>
  </si>
  <si>
    <t>O365 Business Essentials</t>
  </si>
  <si>
    <t>IGN-ARCGIS-002</t>
  </si>
  <si>
    <t>ARCGIS DESKTOP ADVANCED SINGLE OR C</t>
  </si>
  <si>
    <t>24/3/2020</t>
  </si>
  <si>
    <t>IGN-OFIC-002</t>
  </si>
  <si>
    <t>LICENCIA MICROSOFT OFIC.</t>
  </si>
  <si>
    <t>20/4/2017</t>
  </si>
  <si>
    <t>IGN-OFIC-001</t>
  </si>
  <si>
    <t>IGN-CERRAD-001</t>
  </si>
  <si>
    <t>CERRADURA ELECTRICA</t>
  </si>
  <si>
    <t>17/4/2017</t>
  </si>
  <si>
    <t>MINISTERIO DE ECONOMÌA PLANIFICACIÓN Y DESARROLLO (MEPyD)</t>
  </si>
  <si>
    <t>INSTITUTO GEOGRÁFICO NACIONAL "JOSÉ JOAQUÌN HUNGRÌA MORELL"</t>
  </si>
  <si>
    <t>AÑO 2023</t>
  </si>
  <si>
    <t>Ejecución de Gastos  y Aplicaciones Financieras</t>
  </si>
  <si>
    <t>Valores en RD$</t>
  </si>
  <si>
    <t>DETALLE</t>
  </si>
  <si>
    <t>Presupuesto Aprobado</t>
  </si>
  <si>
    <t>Presupuesto Modificado</t>
  </si>
  <si>
    <t xml:space="preserve">Gasto devengado </t>
  </si>
  <si>
    <t xml:space="preserve">Enero </t>
  </si>
  <si>
    <t>Febrero</t>
  </si>
  <si>
    <t>Marzo</t>
  </si>
  <si>
    <t>Abril</t>
  </si>
  <si>
    <t>Mayo</t>
  </si>
  <si>
    <t>Junio</t>
  </si>
  <si>
    <t>Julio</t>
  </si>
  <si>
    <t xml:space="preserve">Agosto </t>
  </si>
  <si>
    <t>Septiembre</t>
  </si>
  <si>
    <t>Octubre</t>
  </si>
  <si>
    <t xml:space="preserve">Noviembre </t>
  </si>
  <si>
    <t>Diciembre</t>
  </si>
  <si>
    <t xml:space="preserve">Total </t>
  </si>
  <si>
    <t>2 - GASTOS</t>
  </si>
  <si>
    <t>2.1 - REMUNERACIONES Y CONTRIBUCIONES</t>
  </si>
  <si>
    <t>2.1.1 - REMUNERACIONES</t>
  </si>
  <si>
    <t>2.1.2 - SOBRESUELDOS</t>
  </si>
  <si>
    <t>2.1.3 - DIETAS Y GASTOS DE REPRESENTACIÓN</t>
  </si>
  <si>
    <t>2.1.4 - GRATIFICACIONES Y BONIFICACIONES</t>
  </si>
  <si>
    <t>2.1.5 - CONTRIBUCIONES A LA SEGURIDAD SOCIAL</t>
  </si>
  <si>
    <t>2.2 - CONTRATACIÓN DE SERVICIOS</t>
  </si>
  <si>
    <t>2.2.1 - SERVICIOS BÁSICOS</t>
  </si>
  <si>
    <t>2.2.2 - PUBLICIDAD, IMPRESIÓN Y ENCUADERNACIÓN</t>
  </si>
  <si>
    <t>2.2.3 - VIÁTICOS</t>
  </si>
  <si>
    <t>2.2.4 - TRANSPORTE Y ALMACENAJE</t>
  </si>
  <si>
    <t>2.2.5 - ALQUILERES Y RENTAS</t>
  </si>
  <si>
    <t>2.2.6 - SEGUROS</t>
  </si>
  <si>
    <t>2.2.7 - SERVICIOS DE CONSERVACIÓN, REPARACIONES MENORES E INSTALACIONES TEMPORALES</t>
  </si>
  <si>
    <t>2.2.8 - OTROS SERVICIOS NO INCLUIDOS EN CONCEPTOS ANTERIORES</t>
  </si>
  <si>
    <t>2.2.9 - OTRAS CONTRATACIONES DE SERVICIOS</t>
  </si>
  <si>
    <t>2.3 - MATERIALES Y SUMINISTROS</t>
  </si>
  <si>
    <t>2.3.1 - ALIMENTOS Y PRODUCTOS AGROFORESTALES</t>
  </si>
  <si>
    <t>2.3.2 - TEXTILES Y VESTUARIOS</t>
  </si>
  <si>
    <t>2.3.3 - PRODUCTOS DE PAPEL, CARTÓN E IMPRESOS</t>
  </si>
  <si>
    <t>2.3.4 - PRODUCTOS FARMACÉUTICOS</t>
  </si>
  <si>
    <t>2.3.5 - PRODUCTOS DE CUERO, CAUCHO Y PLÁSTICO</t>
  </si>
  <si>
    <t>2.3.6 - PRODUCTOS DE MINERALES, METÁLICOS Y NO METÁLICOS</t>
  </si>
  <si>
    <t>2.3.7 - COMBUSTIBLES, LUBRICANTES, PRODUCTOS QUÍMICOS Y CONEXOS</t>
  </si>
  <si>
    <t>2.3.8 - GASTOS QUE SE ASIGNARÁN DURANTE EL EJERCICIO (ART. 32 Y 33 LEY 423-06)</t>
  </si>
  <si>
    <t>2.3.9 - PRODUCTOS Y ÚTILES VARIOS</t>
  </si>
  <si>
    <t>2.4 - TRANSFERENCIAS CORRIENTES</t>
  </si>
  <si>
    <t>2.4.1 - TRANSFERENCIAS CORRIENTES AL SECTOR PRIVADO</t>
  </si>
  <si>
    <t>2.4.2 - TRANSFERENCIAS CORRIENTES AL  GOBIERNO GENERAL NACIONAL</t>
  </si>
  <si>
    <t>2.4.3 - TRANSFERENCIAS CORRIENTES A GOBIERNOS GENERALES LOCALES</t>
  </si>
  <si>
    <t>2.4.4 - TRANSFERENCIAS CORRIENTES A EMPRESAS PÚBLICAS NO FINANCIERAS</t>
  </si>
  <si>
    <t>2.4.5 - TRANSFERENCIAS CORRIENTES A INSTITUCIONES PÚBLICAS FINANCIERAS</t>
  </si>
  <si>
    <t>2.4.6 - SUBVENCIONES</t>
  </si>
  <si>
    <t>2.4.7 - TRANSFERENCIAS CORRIENTES AL SECTOR EXTERNO</t>
  </si>
  <si>
    <t>2.5 - TRANSFERENCIAS DE CAPITAL</t>
  </si>
  <si>
    <t>2.5.1 - TRANSFERENCIAS DE CAPITAL AL SECTOR PRIVADO</t>
  </si>
  <si>
    <t>2.5.2 - TRANSFERENCIAS DE CAPITAL AL GOBIERNO GENERAL  NACIONAL</t>
  </si>
  <si>
    <t>2.5.3 - TRANSFERENCIAS DE CAPITAL A GOBIERNOS GENERALES LOCALES</t>
  </si>
  <si>
    <t>2.5.4 - TRANSFERENCIAS DE CAPITAL  A EMPRESAS PÚBLICAS NO FINANCIERAS</t>
  </si>
  <si>
    <t>2.5.6 - TRANSFERENCIAS DE CAPITAL AL SECTOR EXTERNO</t>
  </si>
  <si>
    <t>2.5.9 - TRANSFERENCIAS DE CAPITAL A OTRAS INSTITUCIONES PÚBLICAS</t>
  </si>
  <si>
    <t>2.6 - BIENES MUEBLES, INMUEBLES E INTANGIBLES</t>
  </si>
  <si>
    <t>2.6.1 - MOBILIARIO Y EQUIPO</t>
  </si>
  <si>
    <t>2.6.2 - MOBILIARIO Y EQUIPO AUDIOVISUAL, RECREATIVO Y EDUCACIONAL</t>
  </si>
  <si>
    <t>2.6.3 - EQUIPO E INSTRUMENTAL, CIENTÍFICO Y LABORATORIO</t>
  </si>
  <si>
    <t>2.6.4 - VEHÍCULOS Y EQUIPO DE TRANSPORTE, TRACCIÓN Y ELEVACIÓN</t>
  </si>
  <si>
    <t>2.6.5 - MAQUINARIA, OTROS EQUIPOS Y HERRAMIENTAS</t>
  </si>
  <si>
    <t>2.6.6 - EQUIPOS DE DEFENSA Y SEGURIDAD</t>
  </si>
  <si>
    <t>2.6.7 - ACTIVOS BIOLÓGICOS</t>
  </si>
  <si>
    <t>2.6.8 - BIENES INTANGIBLES</t>
  </si>
  <si>
    <t>2.6.9 - EDIFICIOS, ESTRUCTURAS, TIERRAS, TERRENOS Y OBJETOS DE VALOR</t>
  </si>
  <si>
    <t>2.7 - OBRAS</t>
  </si>
  <si>
    <t>2.7.1 - OBRAS EN EDIFICACIONES</t>
  </si>
  <si>
    <t>2.7.2 - INFRAESTRUCTURA</t>
  </si>
  <si>
    <t>2.7.3 - CONSTRUCCIONES EN BIENES CONCESIONADOS</t>
  </si>
  <si>
    <t>2.7.4 - GASTOS QUE SE ASIGNARÁN DURANTE EL EJERCICIO PARA INVERSIÓN (ART. 32 Y 33 LEY 423-06)</t>
  </si>
  <si>
    <t>2.8 - ADQUISICION DE ACTIVOS FINANCIEROS CON FINES DE POLÍTICA</t>
  </si>
  <si>
    <t>2.8.1 - CONCESIÓN DE PRESTAMOS</t>
  </si>
  <si>
    <t>2.8.2 - ADQUISICIÓN DE TÍTULOS VALORES REPRESENTATIVOS DE DEUDA</t>
  </si>
  <si>
    <t>2.9 - GASTOS FINANCIEROS</t>
  </si>
  <si>
    <t>2.9.1 - INTERESES DE LA DEUDA PÚBLICA INTERNA</t>
  </si>
  <si>
    <t>2.9.2 - INTERESES DE LA DEUDA PUBLICA EXTERNA</t>
  </si>
  <si>
    <t>2.9.4 - COMISIONES Y OTROS GASTOS BANCARIOS DE LA DEUDA PÚBLICA</t>
  </si>
  <si>
    <t>4 - APLICACIONES FINANCIERAS</t>
  </si>
  <si>
    <t>4.1 - INCREMENTO DE ACTIVOS FINANCIEROS</t>
  </si>
  <si>
    <t>4.1.1 - INCREMENTO DE ACTIVOS FINANCIEROS CORRIENTES</t>
  </si>
  <si>
    <t>4.1.2 - INCREMENTO DE ACTIVOS FINANCIEROS NO CORRIENTES</t>
  </si>
  <si>
    <t>4.2 - DISMINUCIÓN DE PASIVOS</t>
  </si>
  <si>
    <t>4.2.1 - DISMINUCIÓN DE PASIVOS CORRIENTES</t>
  </si>
  <si>
    <t>4.2.2 - DISMINUCIÓN DE PASIVOS NO CORRIENTES</t>
  </si>
  <si>
    <t>4.3 - DISMINUCIÓN DE FONDOS DE TERCEROS</t>
  </si>
  <si>
    <t>4.3.5 - DISMINUCIÓN DEPÓSITOS FONDOS DE TERCEROS</t>
  </si>
  <si>
    <t>Total general</t>
  </si>
  <si>
    <t>Fuente: SIGEF</t>
  </si>
  <si>
    <t>Fecha de registro: hasta el 31 de agosto 2023.</t>
  </si>
  <si>
    <t>Fecha de imputación: hasta el 31 de agosto 2023.</t>
  </si>
  <si>
    <t>1. Presupuesto aprobado: Se refiere al presupuesto aprobado en la Ley de Presupuesto General del Estado.</t>
  </si>
  <si>
    <t xml:space="preserve">2. Presupuesto modificado:  Se refiere al presupuesto aprobado en caso de que el Congreso Nacional apruebe un presupuesto complementario. </t>
  </si>
  <si>
    <t>3. Total devengado:  Son los recursos financieros que surgen con la obligación de pago por la recepción de conformidad de obras, bienes y servicios oportunamente contratados o, en los casos de gastos sin contraprestación, por haberse cumplido los requisitos administrativos dispuestos por el reglamento de la presente Ley.</t>
  </si>
  <si>
    <t>4. Gasto devengado.</t>
  </si>
  <si>
    <t>5. Se presenta el gasto por mes; cada mes se debe actualizar el gasto devengado de los meses anteriores.</t>
  </si>
  <si>
    <t>6. Se presenta la clasificación objeta! del gasto al nivel de cuenta.</t>
  </si>
  <si>
    <t>7. Fecha de imputación: último día del mes analizado.</t>
  </si>
  <si>
    <t>8. Fecha de registro: el dia 10 del mes siguiente al mes analizado.</t>
  </si>
  <si>
    <t>9.Fuente Reporte IGP02-SIGEF.</t>
  </si>
  <si>
    <t>Revisado por:</t>
  </si>
  <si>
    <t>Aprobado por:</t>
  </si>
  <si>
    <t>Brenda Matos</t>
  </si>
  <si>
    <t>María Lajara</t>
  </si>
  <si>
    <t>Encargada de Contabilidad</t>
  </si>
  <si>
    <t xml:space="preserve"> Encargada Adminsitrativa-Financiera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</si>
</sst>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00\ _€_-;\-* #,##0.00\ _€_-;_-* &quot;-&quot;??\ _€_-;_-@_-"/>
    <numFmt numFmtId="165" formatCode="_-* #,##0.00_-;\-* #,##0.00_-;_-* &quot;-&quot;??_-;_-@_-"/>
    <numFmt numFmtId="166" formatCode="_(* #,##0_);_(* \(#,##0\);_(* &quot;-&quot;??_);_(@_)"/>
    <numFmt numFmtId="167" formatCode="#,##0.00#######"/>
    <numFmt numFmtId="168" formatCode="0.00#######"/>
    <numFmt numFmtId="169" formatCode="_(* #,##0.0_);_(* \(#,##0.0\);_(* &quot;-&quot;??_);_(@_)"/>
  </numFmts>
  <fonts count="43" x14ac:knownFonts="1">
    <font>
      <sz val="11"/>
      <color theme="1"/>
      <name val="Calibri"/>
      <family val="2"/>
      <scheme val="minor"/>
    </font>
    <font>
      <sz val="11"/>
      <color theme="1"/>
      <name val="Times New Roman"/>
      <family val="1"/>
    </font>
    <font>
      <b/>
      <sz val="11"/>
      <color rgb="FF000000"/>
      <name val="Times New Roman"/>
      <family val="1"/>
    </font>
    <font>
      <sz val="11"/>
      <color rgb="FF000000"/>
      <name val="Times New Roman"/>
      <family val="1"/>
    </font>
    <font>
      <b/>
      <sz val="11"/>
      <name val="Times New Roman"/>
      <family val="1"/>
    </font>
    <font>
      <sz val="11"/>
      <name val="Times New Roman"/>
      <family val="1"/>
    </font>
    <font>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u/>
      <sz val="10"/>
      <color theme="1"/>
      <name val="Times New Roman"/>
      <family val="1"/>
    </font>
    <font>
      <sz val="10"/>
      <name val="Times New Roman"/>
      <family val="1"/>
    </font>
    <font>
      <b/>
      <sz val="10"/>
      <name val="Times New Roman"/>
      <family val="1"/>
    </font>
    <font>
      <sz val="10"/>
      <color rgb="FF000000"/>
      <name val="Times New Roman"/>
      <family val="1"/>
    </font>
    <font>
      <b/>
      <sz val="10"/>
      <color rgb="FF000000"/>
      <name val="Times New Roman"/>
      <family val="1"/>
    </font>
    <font>
      <sz val="22"/>
      <color theme="1"/>
      <name val="Calibri"/>
      <family val="2"/>
      <scheme val="minor"/>
    </font>
    <font>
      <sz val="18"/>
      <color theme="1"/>
      <name val="Times New Roman"/>
      <family val="1"/>
    </font>
    <font>
      <sz val="10"/>
      <name val="Arial"/>
      <family val="2"/>
    </font>
    <font>
      <b/>
      <sz val="24"/>
      <name val="Calibri"/>
      <family val="2"/>
      <scheme val="minor"/>
    </font>
    <font>
      <b/>
      <sz val="11"/>
      <color theme="1"/>
      <name val="Times New Roman"/>
      <family val="1"/>
    </font>
    <font>
      <b/>
      <sz val="16"/>
      <color theme="1"/>
      <name val="Times New Roman"/>
      <family val="1"/>
    </font>
    <font>
      <sz val="14"/>
      <color theme="1"/>
      <name val="Times New Roman"/>
      <family val="1"/>
    </font>
    <font>
      <sz val="16"/>
      <color theme="1"/>
      <name val="Times New Roman"/>
      <family val="1"/>
    </font>
    <font>
      <sz val="16"/>
      <name val="Times New Roman"/>
      <family val="1"/>
    </font>
    <font>
      <sz val="11"/>
      <name val="Calibri"/>
      <family val="2"/>
      <scheme val="minor"/>
    </font>
    <font>
      <sz val="12"/>
      <color theme="1"/>
      <name val="Times New Roman"/>
      <family val="1"/>
    </font>
    <font>
      <sz val="12"/>
      <name val="Times New Roman"/>
      <family val="1"/>
    </font>
    <font>
      <b/>
      <sz val="12"/>
      <color theme="1"/>
      <name val="Arial"/>
      <family val="2"/>
    </font>
    <font>
      <sz val="16"/>
      <color theme="1"/>
      <name val="Calibri"/>
      <family val="2"/>
      <scheme val="minor"/>
    </font>
    <font>
      <b/>
      <sz val="22"/>
      <color theme="1"/>
      <name val="Times New Roman"/>
      <family val="1"/>
    </font>
    <font>
      <sz val="22"/>
      <color theme="1"/>
      <name val="Times New Roman"/>
      <family val="1"/>
    </font>
    <font>
      <b/>
      <sz val="8"/>
      <color rgb="FF000000"/>
      <name val="Times New Roman"/>
      <family val="1"/>
    </font>
    <font>
      <sz val="8"/>
      <color rgb="FF000000"/>
      <name val="Times New Roman"/>
      <family val="1"/>
    </font>
    <font>
      <sz val="48"/>
      <color theme="1"/>
      <name val="Times New Roman"/>
      <family val="1"/>
    </font>
    <font>
      <b/>
      <i/>
      <sz val="26"/>
      <color theme="1"/>
      <name val="Times New Roman"/>
      <family val="1"/>
    </font>
    <font>
      <b/>
      <i/>
      <sz val="48"/>
      <color theme="1"/>
      <name val="Times New Roman"/>
      <family val="1"/>
    </font>
    <font>
      <sz val="12"/>
      <color rgb="FF000000"/>
      <name val="Times New Roman"/>
      <family val="1"/>
    </font>
    <font>
      <b/>
      <sz val="12"/>
      <color theme="1"/>
      <name val="Times New Roman"/>
      <family val="1"/>
    </font>
    <font>
      <b/>
      <sz val="48"/>
      <color theme="1"/>
      <name val="Times New Roman"/>
      <family val="1"/>
    </font>
    <font>
      <b/>
      <i/>
      <sz val="12"/>
      <color theme="0"/>
      <name val="Times New Roman"/>
      <family val="1"/>
    </font>
    <font>
      <b/>
      <sz val="12"/>
      <name val="Times New Roman"/>
      <family val="1"/>
    </font>
    <font>
      <i/>
      <sz val="12"/>
      <color theme="1"/>
      <name val="Times New Roman"/>
      <family val="1"/>
    </font>
    <font>
      <b/>
      <i/>
      <sz val="12"/>
      <color theme="1"/>
      <name val="Times New Roman"/>
      <family val="1"/>
    </font>
  </fonts>
  <fills count="10">
    <fill>
      <patternFill patternType="none"/>
    </fill>
    <fill>
      <patternFill patternType="gray125"/>
    </fill>
    <fill>
      <patternFill patternType="solid">
        <fgColor theme="4" tint="0.79998168889431442"/>
        <bgColor indexed="64"/>
      </patternFill>
    </fill>
    <fill>
      <patternFill patternType="solid">
        <fgColor theme="8"/>
      </patternFill>
    </fill>
    <fill>
      <patternFill patternType="solid">
        <fgColor theme="0"/>
        <bgColor indexed="64"/>
      </patternFill>
    </fill>
    <fill>
      <patternFill patternType="solid">
        <fgColor rgb="FFFFFFFF"/>
        <bgColor indexed="64"/>
      </patternFill>
    </fill>
    <fill>
      <patternFill patternType="solid">
        <fgColor theme="4" tint="0.39997558519241921"/>
        <bgColor indexed="64"/>
      </patternFill>
    </fill>
    <fill>
      <patternFill patternType="solid">
        <fgColor theme="4" tint="0.59999389629810485"/>
        <bgColor theme="4" tint="0.79998168889431442"/>
      </patternFill>
    </fill>
    <fill>
      <patternFill patternType="solid">
        <fgColor theme="4" tint="0.59999389629810485"/>
        <bgColor indexed="64"/>
      </patternFill>
    </fill>
    <fill>
      <patternFill patternType="solid">
        <fgColor theme="0"/>
        <bgColor theme="4" tint="0.79998168889431442"/>
      </patternFill>
    </fill>
  </fills>
  <borders count="23">
    <border>
      <left/>
      <right/>
      <top/>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4" tint="0.39997558519241921"/>
      </bottom>
      <diagonal/>
    </border>
    <border>
      <left/>
      <right/>
      <top style="thin">
        <color theme="4"/>
      </top>
      <bottom/>
      <diagonal/>
    </border>
    <border>
      <left/>
      <right/>
      <top style="thin">
        <color theme="4" tint="0.39997558519241921"/>
      </top>
      <bottom/>
      <diagonal/>
    </border>
  </borders>
  <cellStyleXfs count="5">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3" borderId="0" applyNumberFormat="0" applyBorder="0" applyAlignment="0" applyProtection="0"/>
    <xf numFmtId="0" fontId="17" fillId="0" borderId="0"/>
  </cellStyleXfs>
  <cellXfs count="343">
    <xf numFmtId="0" fontId="0" fillId="0" borderId="0" xfId="0"/>
    <xf numFmtId="0" fontId="1" fillId="0" borderId="0" xfId="0" applyFont="1"/>
    <xf numFmtId="0" fontId="2" fillId="0" borderId="0" xfId="0" applyFont="1" applyAlignment="1">
      <alignment horizontal="center"/>
    </xf>
    <xf numFmtId="0" fontId="3" fillId="0" borderId="0" xfId="0" applyFont="1" applyAlignment="1">
      <alignment wrapText="1"/>
    </xf>
    <xf numFmtId="0" fontId="1" fillId="0" borderId="0" xfId="0" applyFont="1" applyAlignment="1">
      <alignment wrapText="1"/>
    </xf>
    <xf numFmtId="0" fontId="3" fillId="0" borderId="0" xfId="0" applyFont="1" applyAlignment="1">
      <alignment horizontal="left" wrapText="1"/>
    </xf>
    <xf numFmtId="0" fontId="3" fillId="0" borderId="0" xfId="0" applyFont="1"/>
    <xf numFmtId="0" fontId="5" fillId="0" borderId="0" xfId="0" applyFont="1" applyAlignment="1">
      <alignment horizontal="justify" vertical="center" wrapText="1"/>
    </xf>
    <xf numFmtId="0" fontId="3" fillId="0" borderId="0" xfId="0" applyFont="1" applyAlignment="1">
      <alignment horizontal="left" wrapText="1"/>
    </xf>
    <xf numFmtId="0" fontId="2" fillId="0" borderId="0" xfId="0" applyFont="1" applyAlignment="1">
      <alignment horizontal="left" wrapText="1"/>
    </xf>
    <xf numFmtId="0" fontId="2" fillId="2" borderId="0" xfId="0" applyFont="1" applyFill="1" applyAlignment="1">
      <alignment horizontal="left" wrapText="1"/>
    </xf>
    <xf numFmtId="0" fontId="2" fillId="0" borderId="0" xfId="0" applyFont="1" applyAlignment="1">
      <alignment horizontal="center" vertical="center" wrapText="1"/>
    </xf>
    <xf numFmtId="0" fontId="2" fillId="0" borderId="0" xfId="0" applyFont="1" applyAlignment="1">
      <alignment horizontal="center"/>
    </xf>
    <xf numFmtId="0" fontId="2" fillId="2" borderId="0" xfId="0" applyFont="1" applyFill="1" applyAlignment="1">
      <alignment horizontal="left"/>
    </xf>
    <xf numFmtId="0" fontId="8" fillId="0" borderId="0" xfId="0" applyFont="1"/>
    <xf numFmtId="0" fontId="8" fillId="2" borderId="0" xfId="0" applyFont="1" applyFill="1" applyAlignment="1"/>
    <xf numFmtId="0" fontId="8" fillId="0" borderId="0" xfId="0" applyFont="1" applyFill="1"/>
    <xf numFmtId="0" fontId="9" fillId="0" borderId="0" xfId="0" applyFont="1"/>
    <xf numFmtId="0" fontId="9" fillId="0" borderId="0" xfId="0" applyFont="1" applyFill="1" applyAlignment="1">
      <alignment horizontal="left" wrapText="1"/>
    </xf>
    <xf numFmtId="43" fontId="9" fillId="0" borderId="0" xfId="1" applyFont="1"/>
    <xf numFmtId="0" fontId="9" fillId="0" borderId="0" xfId="0" applyFont="1" applyFill="1"/>
    <xf numFmtId="0" fontId="8" fillId="0" borderId="0" xfId="0" applyFont="1" applyFill="1" applyBorder="1" applyAlignment="1"/>
    <xf numFmtId="0" fontId="8" fillId="0" borderId="0" xfId="0" applyFont="1" applyFill="1" applyBorder="1" applyAlignment="1">
      <alignment horizontal="center"/>
    </xf>
    <xf numFmtId="43" fontId="9" fillId="0" borderId="0" xfId="1" applyFont="1" applyFill="1"/>
    <xf numFmtId="0" fontId="9" fillId="0" borderId="0" xfId="0" applyFont="1" applyFill="1" applyBorder="1"/>
    <xf numFmtId="43" fontId="9" fillId="0" borderId="0" xfId="1" applyFont="1" applyFill="1" applyBorder="1" applyAlignment="1">
      <alignment horizontal="right"/>
    </xf>
    <xf numFmtId="43" fontId="9" fillId="0" borderId="0" xfId="1" applyFont="1" applyBorder="1" applyAlignment="1">
      <alignment horizontal="right"/>
    </xf>
    <xf numFmtId="43" fontId="8" fillId="0" borderId="0" xfId="1" applyFont="1" applyFill="1" applyBorder="1" applyAlignment="1">
      <alignment horizontal="right"/>
    </xf>
    <xf numFmtId="164" fontId="8" fillId="0" borderId="0" xfId="0" applyNumberFormat="1" applyFont="1" applyBorder="1" applyAlignment="1">
      <alignment horizontal="right"/>
    </xf>
    <xf numFmtId="43" fontId="8" fillId="0" borderId="1" xfId="1" applyFont="1" applyFill="1" applyBorder="1" applyAlignment="1">
      <alignment horizontal="right"/>
    </xf>
    <xf numFmtId="0" fontId="9" fillId="0" borderId="0" xfId="0" applyFont="1" applyBorder="1"/>
    <xf numFmtId="43" fontId="8" fillId="0" borderId="0" xfId="1" applyFont="1" applyBorder="1" applyAlignment="1">
      <alignment horizontal="right"/>
    </xf>
    <xf numFmtId="164" fontId="8" fillId="0" borderId="0" xfId="0" applyNumberFormat="1" applyFont="1" applyFill="1" applyBorder="1" applyAlignment="1">
      <alignment horizontal="right"/>
    </xf>
    <xf numFmtId="43" fontId="8" fillId="0" borderId="0" xfId="1" applyFont="1" applyFill="1" applyBorder="1"/>
    <xf numFmtId="0" fontId="9" fillId="0" borderId="0" xfId="0" applyFont="1" applyFill="1" applyAlignment="1">
      <alignment horizontal="center"/>
    </xf>
    <xf numFmtId="43" fontId="9" fillId="0" borderId="0" xfId="1" applyFont="1" applyFill="1" applyBorder="1"/>
    <xf numFmtId="0" fontId="9" fillId="0" borderId="0" xfId="0" applyFont="1" applyFill="1" applyAlignment="1">
      <alignment horizontal="left"/>
    </xf>
    <xf numFmtId="164" fontId="8" fillId="0" borderId="1" xfId="0" applyNumberFormat="1" applyFont="1" applyFill="1" applyBorder="1" applyAlignment="1">
      <alignment horizontal="right"/>
    </xf>
    <xf numFmtId="0" fontId="9" fillId="0" borderId="0" xfId="0" applyFont="1" applyFill="1" applyAlignment="1">
      <alignment horizontal="left" wrapText="1"/>
    </xf>
    <xf numFmtId="0" fontId="9" fillId="0" borderId="0" xfId="0" applyFont="1" applyAlignment="1">
      <alignment horizontal="left"/>
    </xf>
    <xf numFmtId="43" fontId="9" fillId="0" borderId="0" xfId="0" applyNumberFormat="1" applyFont="1"/>
    <xf numFmtId="43" fontId="9" fillId="0" borderId="2" xfId="1" applyFont="1" applyBorder="1" applyAlignment="1">
      <alignment horizontal="right"/>
    </xf>
    <xf numFmtId="0" fontId="8" fillId="0" borderId="0" xfId="0" applyFont="1" applyBorder="1"/>
    <xf numFmtId="43" fontId="8" fillId="0" borderId="1" xfId="1" applyFont="1" applyBorder="1" applyAlignment="1">
      <alignment horizontal="right"/>
    </xf>
    <xf numFmtId="43" fontId="9" fillId="0" borderId="0" xfId="1" applyFont="1" applyBorder="1" applyAlignment="1">
      <alignment horizontal="right" vertical="center" wrapText="1" shrinkToFi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horizontal="center" vertical="center" wrapText="1" shrinkToFi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shrinkToFit="1"/>
    </xf>
    <xf numFmtId="0" fontId="8" fillId="0" borderId="0" xfId="0"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center"/>
    </xf>
    <xf numFmtId="39" fontId="9" fillId="0" borderId="0" xfId="0" applyNumberFormat="1" applyFont="1" applyBorder="1" applyAlignment="1">
      <alignment vertical="center"/>
    </xf>
    <xf numFmtId="0" fontId="9" fillId="0" borderId="0" xfId="0" applyFont="1" applyBorder="1" applyAlignment="1">
      <alignment horizontal="left" vertical="center"/>
    </xf>
    <xf numFmtId="43" fontId="9" fillId="0" borderId="0" xfId="1" applyFont="1" applyBorder="1" applyAlignment="1">
      <alignment vertical="center"/>
    </xf>
    <xf numFmtId="43" fontId="9" fillId="0" borderId="0" xfId="1" applyFont="1" applyBorder="1" applyAlignment="1">
      <alignment horizontal="center" vertical="center"/>
    </xf>
    <xf numFmtId="0" fontId="9" fillId="0" borderId="0" xfId="0" applyFont="1" applyBorder="1" applyAlignment="1">
      <alignment horizontal="center" vertical="center"/>
    </xf>
    <xf numFmtId="43" fontId="8" fillId="0" borderId="0" xfId="1" applyFont="1" applyBorder="1" applyAlignment="1">
      <alignment vertical="center"/>
    </xf>
    <xf numFmtId="39" fontId="8" fillId="0" borderId="0" xfId="0" applyNumberFormat="1" applyFont="1" applyBorder="1" applyAlignment="1">
      <alignment vertical="center"/>
    </xf>
    <xf numFmtId="0" fontId="9" fillId="0" borderId="0" xfId="0" applyFont="1" applyFill="1" applyBorder="1" applyAlignment="1">
      <alignment horizontal="left" vertical="center"/>
    </xf>
    <xf numFmtId="43" fontId="9" fillId="0" borderId="0" xfId="1" applyFont="1" applyFill="1" applyBorder="1" applyAlignment="1">
      <alignment vertical="center"/>
    </xf>
    <xf numFmtId="39" fontId="9" fillId="0" borderId="0" xfId="0" applyNumberFormat="1" applyFont="1" applyFill="1" applyBorder="1" applyAlignment="1">
      <alignment vertical="center"/>
    </xf>
    <xf numFmtId="39" fontId="9" fillId="0" borderId="0" xfId="0" applyNumberFormat="1" applyFont="1" applyFill="1" applyBorder="1" applyAlignment="1">
      <alignment horizontal="right" vertical="center" wrapText="1" shrinkToFit="1"/>
    </xf>
    <xf numFmtId="39" fontId="9" fillId="0" borderId="0" xfId="0" applyNumberFormat="1" applyFont="1" applyBorder="1" applyAlignment="1">
      <alignment horizontal="right" vertical="center" wrapText="1" shrinkToFit="1"/>
    </xf>
    <xf numFmtId="43" fontId="8" fillId="0" borderId="4" xfId="1" applyFont="1" applyBorder="1" applyAlignment="1">
      <alignment vertical="center"/>
    </xf>
    <xf numFmtId="39" fontId="8" fillId="0" borderId="4" xfId="0" applyNumberFormat="1" applyFont="1" applyBorder="1" applyAlignment="1">
      <alignmen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shrinkToFi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shrinkToFit="1"/>
    </xf>
    <xf numFmtId="0" fontId="8" fillId="0" borderId="0" xfId="0" applyFont="1" applyFill="1" applyBorder="1" applyAlignment="1">
      <alignment horizontal="center" vertical="center" wrapText="1"/>
    </xf>
    <xf numFmtId="0" fontId="9" fillId="0" borderId="6" xfId="0" applyFont="1" applyFill="1" applyBorder="1" applyAlignment="1">
      <alignment horizontal="left" vertical="center"/>
    </xf>
    <xf numFmtId="43" fontId="8" fillId="0" borderId="0" xfId="1" applyFont="1" applyFill="1" applyBorder="1" applyAlignment="1">
      <alignment vertical="center"/>
    </xf>
    <xf numFmtId="39" fontId="8" fillId="0" borderId="0" xfId="0" applyNumberFormat="1" applyFont="1" applyFill="1" applyBorder="1" applyAlignment="1">
      <alignment vertical="center"/>
    </xf>
    <xf numFmtId="43" fontId="9" fillId="0" borderId="0" xfId="1" applyFont="1" applyFill="1" applyBorder="1" applyAlignment="1">
      <alignment horizontal="center" vertical="center"/>
    </xf>
    <xf numFmtId="43" fontId="8" fillId="0" borderId="4" xfId="1" applyFont="1" applyFill="1" applyBorder="1" applyAlignment="1">
      <alignment vertical="center"/>
    </xf>
    <xf numFmtId="0" fontId="9" fillId="0" borderId="0" xfId="0" applyFont="1" applyFill="1" applyBorder="1" applyAlignment="1">
      <alignment horizontal="left" vertical="center"/>
    </xf>
    <xf numFmtId="43" fontId="8" fillId="0" borderId="0" xfId="1" applyFont="1" applyFill="1" applyBorder="1" applyAlignment="1">
      <alignment horizontal="center" vertical="center"/>
    </xf>
    <xf numFmtId="0" fontId="9" fillId="0" borderId="0" xfId="0" applyFont="1" applyFill="1" applyBorder="1" applyAlignment="1">
      <alignment horizontal="left" vertical="center" wrapText="1"/>
    </xf>
    <xf numFmtId="43" fontId="9" fillId="0" borderId="0" xfId="1" applyFont="1" applyFill="1" applyBorder="1" applyAlignment="1">
      <alignment horizontal="left" vertical="center"/>
    </xf>
    <xf numFmtId="39" fontId="9" fillId="0" borderId="0" xfId="0" applyNumberFormat="1" applyFont="1" applyFill="1" applyBorder="1" applyAlignment="1">
      <alignment horizontal="left" vertical="center"/>
    </xf>
    <xf numFmtId="39" fontId="9" fillId="0" borderId="0" xfId="0" applyNumberFormat="1" applyFont="1" applyFill="1" applyBorder="1" applyAlignment="1">
      <alignment horizontal="left" vertical="center"/>
    </xf>
    <xf numFmtId="0" fontId="9" fillId="0" borderId="0" xfId="0" applyFont="1" applyFill="1" applyBorder="1" applyAlignment="1">
      <alignment horizontal="left"/>
    </xf>
    <xf numFmtId="164" fontId="9" fillId="0" borderId="0" xfId="0" applyNumberFormat="1" applyFont="1" applyFill="1" applyBorder="1"/>
    <xf numFmtId="0" fontId="8" fillId="0" borderId="0" xfId="0" applyFont="1" applyFill="1" applyAlignment="1"/>
    <xf numFmtId="0" fontId="9" fillId="0" borderId="0" xfId="0" applyFont="1" applyAlignment="1">
      <alignment horizontal="left"/>
    </xf>
    <xf numFmtId="0" fontId="8" fillId="0" borderId="0" xfId="0" applyFont="1" applyFill="1" applyBorder="1" applyAlignment="1">
      <alignment horizontal="center" wrapText="1"/>
    </xf>
    <xf numFmtId="43" fontId="8" fillId="0" borderId="0" xfId="1" applyFont="1" applyFill="1" applyBorder="1" applyAlignment="1">
      <alignment horizontal="center" wrapText="1"/>
    </xf>
    <xf numFmtId="0" fontId="8" fillId="0" borderId="0" xfId="0" applyFont="1" applyFill="1" applyBorder="1" applyAlignment="1">
      <alignment horizontal="center" vertical="center"/>
    </xf>
    <xf numFmtId="43" fontId="9" fillId="0" borderId="0" xfId="1" applyFont="1" applyFill="1" applyBorder="1" applyAlignment="1">
      <alignment horizontal="right" wrapText="1"/>
    </xf>
    <xf numFmtId="0" fontId="8" fillId="0" borderId="0" xfId="0" applyFont="1" applyFill="1" applyBorder="1"/>
    <xf numFmtId="43" fontId="8" fillId="0" borderId="0" xfId="1" applyFont="1" applyFill="1" applyBorder="1" applyAlignment="1">
      <alignment horizontal="right" wrapText="1"/>
    </xf>
    <xf numFmtId="164" fontId="9" fillId="0" borderId="0" xfId="0" applyNumberFormat="1" applyFont="1"/>
    <xf numFmtId="43" fontId="8" fillId="0" borderId="4" xfId="1" applyFont="1" applyFill="1" applyBorder="1" applyAlignment="1">
      <alignment horizontal="right" wrapText="1"/>
    </xf>
    <xf numFmtId="43" fontId="8" fillId="0" borderId="1" xfId="1" applyFont="1" applyFill="1" applyBorder="1" applyAlignment="1">
      <alignment horizontal="right" wrapText="1"/>
    </xf>
    <xf numFmtId="0" fontId="11" fillId="4" borderId="0" xfId="0" applyFont="1" applyFill="1" applyBorder="1"/>
    <xf numFmtId="43" fontId="9" fillId="4" borderId="0" xfId="1" applyFont="1" applyFill="1" applyBorder="1" applyAlignment="1">
      <alignment horizontal="right" wrapText="1"/>
    </xf>
    <xf numFmtId="43" fontId="9" fillId="4" borderId="0" xfId="1" applyFont="1" applyFill="1" applyBorder="1" applyAlignment="1">
      <alignment horizontal="right"/>
    </xf>
    <xf numFmtId="0" fontId="9" fillId="4" borderId="0" xfId="0" applyFont="1" applyFill="1" applyBorder="1"/>
    <xf numFmtId="0" fontId="8" fillId="4" borderId="0" xfId="0" applyFont="1" applyFill="1" applyBorder="1"/>
    <xf numFmtId="43" fontId="8" fillId="4" borderId="4" xfId="1" applyFont="1" applyFill="1" applyBorder="1" applyAlignment="1">
      <alignment horizontal="right" wrapText="1"/>
    </xf>
    <xf numFmtId="43" fontId="8" fillId="4" borderId="0" xfId="1" applyFont="1" applyFill="1" applyBorder="1" applyAlignment="1">
      <alignment horizontal="right" wrapText="1"/>
    </xf>
    <xf numFmtId="43" fontId="8" fillId="4" borderId="0" xfId="1" applyFont="1" applyFill="1" applyBorder="1" applyAlignment="1">
      <alignment horizontal="right"/>
    </xf>
    <xf numFmtId="0" fontId="8" fillId="2" borderId="0" xfId="0" applyFont="1" applyFill="1"/>
    <xf numFmtId="43" fontId="8" fillId="2" borderId="0" xfId="1" applyFont="1" applyFill="1" applyBorder="1" applyAlignment="1">
      <alignment horizontal="right"/>
    </xf>
    <xf numFmtId="0" fontId="8" fillId="4" borderId="0" xfId="0" applyFont="1" applyFill="1" applyAlignment="1">
      <alignment horizontal="center" vertical="center"/>
    </xf>
    <xf numFmtId="0" fontId="8" fillId="4" borderId="0" xfId="0" applyFont="1" applyFill="1" applyAlignment="1">
      <alignment horizontal="center" wrapText="1"/>
    </xf>
    <xf numFmtId="0" fontId="8" fillId="4" borderId="0" xfId="0" applyFont="1" applyFill="1" applyAlignment="1">
      <alignment horizontal="center"/>
    </xf>
    <xf numFmtId="0" fontId="11" fillId="5" borderId="0" xfId="0" applyFont="1" applyFill="1" applyBorder="1" applyAlignment="1">
      <alignment horizontal="left" vertical="center" wrapText="1"/>
    </xf>
    <xf numFmtId="43" fontId="9" fillId="4" borderId="0" xfId="1" applyFont="1" applyFill="1" applyBorder="1"/>
    <xf numFmtId="0" fontId="12" fillId="5" borderId="0" xfId="0" applyFont="1" applyFill="1" applyBorder="1" applyAlignment="1">
      <alignment horizontal="left" vertical="center" wrapText="1"/>
    </xf>
    <xf numFmtId="43" fontId="8" fillId="0" borderId="4" xfId="1" applyFont="1" applyFill="1" applyBorder="1"/>
    <xf numFmtId="165" fontId="8" fillId="4" borderId="0" xfId="0" applyNumberFormat="1" applyFont="1" applyFill="1" applyBorder="1"/>
    <xf numFmtId="0" fontId="12" fillId="5" borderId="0" xfId="0" applyFont="1" applyFill="1" applyBorder="1" applyAlignment="1">
      <alignment horizontal="left" vertical="center" wrapText="1"/>
    </xf>
    <xf numFmtId="43" fontId="11" fillId="0" borderId="0" xfId="1" applyFont="1" applyFill="1"/>
    <xf numFmtId="43" fontId="9" fillId="0" borderId="4" xfId="1" applyFont="1" applyFill="1" applyBorder="1"/>
    <xf numFmtId="0" fontId="12" fillId="4" borderId="0" xfId="0" applyFont="1" applyFill="1" applyAlignment="1">
      <alignment horizontal="left"/>
    </xf>
    <xf numFmtId="43" fontId="8" fillId="0" borderId="7" xfId="1" applyFont="1" applyFill="1" applyBorder="1"/>
    <xf numFmtId="43" fontId="8" fillId="4" borderId="0" xfId="1" applyFont="1" applyFill="1" applyBorder="1"/>
    <xf numFmtId="0" fontId="8" fillId="0" borderId="0" xfId="0" applyFont="1" applyBorder="1" applyAlignment="1">
      <alignment horizontal="left" vertical="top" wrapText="1"/>
    </xf>
    <xf numFmtId="0" fontId="8" fillId="0" borderId="0" xfId="0" applyFont="1" applyBorder="1" applyAlignment="1">
      <alignment horizontal="left" vertical="top" wrapText="1"/>
    </xf>
    <xf numFmtId="0" fontId="9" fillId="2" borderId="0" xfId="0" applyFont="1" applyFill="1"/>
    <xf numFmtId="43" fontId="9" fillId="2" borderId="0" xfId="1" applyFont="1" applyFill="1"/>
    <xf numFmtId="0" fontId="9" fillId="0" borderId="0" xfId="0" applyFont="1" applyAlignment="1">
      <alignment horizontal="left" vertical="top" wrapText="1"/>
    </xf>
    <xf numFmtId="0" fontId="9" fillId="0" borderId="0" xfId="0" applyFont="1" applyBorder="1" applyAlignment="1">
      <alignment horizontal="left"/>
    </xf>
    <xf numFmtId="0" fontId="9" fillId="0" borderId="0" xfId="0" applyFont="1" applyAlignment="1">
      <alignment horizontal="left" wrapText="1"/>
    </xf>
    <xf numFmtId="0" fontId="9" fillId="0" borderId="0" xfId="0" applyFont="1" applyAlignment="1">
      <alignment wrapText="1"/>
    </xf>
    <xf numFmtId="0" fontId="9" fillId="0" borderId="0" xfId="0" applyFont="1" applyBorder="1" applyAlignment="1">
      <alignment horizontal="left"/>
    </xf>
    <xf numFmtId="0" fontId="9" fillId="0" borderId="0" xfId="0" applyFont="1" applyBorder="1" applyAlignment="1">
      <alignment horizontal="left" wrapText="1"/>
    </xf>
    <xf numFmtId="43" fontId="13" fillId="0" borderId="0" xfId="1" applyFont="1" applyBorder="1" applyAlignment="1">
      <alignment horizontal="center" vertical="center"/>
    </xf>
    <xf numFmtId="0" fontId="9" fillId="0" borderId="0" xfId="0" applyFont="1" applyAlignment="1">
      <alignment horizontal="left" wrapText="1"/>
    </xf>
    <xf numFmtId="43" fontId="9" fillId="2" borderId="0" xfId="1" applyFont="1" applyFill="1" applyBorder="1" applyAlignment="1">
      <alignment horizontal="right"/>
    </xf>
    <xf numFmtId="0" fontId="13" fillId="0" borderId="0" xfId="0" applyFont="1" applyAlignment="1">
      <alignment horizontal="left" vertical="center"/>
    </xf>
    <xf numFmtId="43" fontId="13" fillId="0" borderId="0" xfId="1" applyFont="1" applyFill="1" applyBorder="1" applyAlignment="1">
      <alignment horizontal="center" vertical="center"/>
    </xf>
    <xf numFmtId="0" fontId="9" fillId="0" borderId="0" xfId="0" applyFont="1" applyBorder="1" applyAlignment="1">
      <alignment horizontal="right"/>
    </xf>
    <xf numFmtId="0" fontId="8" fillId="2" borderId="0" xfId="0" applyFont="1" applyFill="1" applyAlignment="1">
      <alignment horizontal="left"/>
    </xf>
    <xf numFmtId="0" fontId="9" fillId="0" borderId="0" xfId="0" applyFont="1" applyAlignment="1">
      <alignment vertical="top" wrapText="1"/>
    </xf>
    <xf numFmtId="0" fontId="13" fillId="0" borderId="0" xfId="0" applyFont="1" applyBorder="1" applyAlignment="1">
      <alignment horizontal="left" vertical="center"/>
    </xf>
    <xf numFmtId="0" fontId="13" fillId="0" borderId="0" xfId="0" applyFont="1" applyBorder="1" applyAlignment="1">
      <alignment horizontal="justify" vertical="center"/>
    </xf>
    <xf numFmtId="43" fontId="9" fillId="0" borderId="0" xfId="1" applyFont="1" applyBorder="1"/>
    <xf numFmtId="43" fontId="11" fillId="0" borderId="0" xfId="1" applyFont="1" applyFill="1" applyBorder="1" applyAlignment="1">
      <alignment horizontal="right"/>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8" fillId="0" borderId="0" xfId="0" applyFont="1" applyFill="1" applyAlignment="1"/>
    <xf numFmtId="0" fontId="13" fillId="0" borderId="0" xfId="0" applyFont="1" applyFill="1" applyBorder="1" applyAlignment="1">
      <alignment vertical="center"/>
    </xf>
    <xf numFmtId="0" fontId="13" fillId="0" borderId="0" xfId="0" applyFont="1" applyFill="1" applyBorder="1" applyAlignment="1">
      <alignment horizontal="justify" vertical="center"/>
    </xf>
    <xf numFmtId="0" fontId="13" fillId="0" borderId="0" xfId="0" applyFont="1" applyFill="1" applyBorder="1" applyAlignment="1">
      <alignment horizontal="left" vertical="center"/>
    </xf>
    <xf numFmtId="164" fontId="8" fillId="0" borderId="4" xfId="0" applyNumberFormat="1" applyFont="1" applyFill="1" applyBorder="1"/>
    <xf numFmtId="164" fontId="8" fillId="0" borderId="0" xfId="0" applyNumberFormat="1" applyFont="1" applyFill="1" applyBorder="1"/>
    <xf numFmtId="0" fontId="9" fillId="0" borderId="0" xfId="0" applyFont="1" applyFill="1" applyAlignment="1">
      <alignment horizontal="right"/>
    </xf>
    <xf numFmtId="0" fontId="13" fillId="0" borderId="0" xfId="0" applyFont="1" applyBorder="1" applyAlignment="1">
      <alignment horizontal="left" vertical="center"/>
    </xf>
    <xf numFmtId="43" fontId="9" fillId="0" borderId="0" xfId="0" applyNumberFormat="1" applyFont="1" applyBorder="1"/>
    <xf numFmtId="164" fontId="9" fillId="0" borderId="0" xfId="0" applyNumberFormat="1" applyFont="1" applyFill="1"/>
    <xf numFmtId="0" fontId="9" fillId="0" borderId="7" xfId="0" applyFont="1" applyFill="1" applyBorder="1"/>
    <xf numFmtId="43" fontId="8" fillId="0" borderId="0" xfId="0" applyNumberFormat="1" applyFont="1" applyFill="1"/>
    <xf numFmtId="43" fontId="9" fillId="0" borderId="0" xfId="0" applyNumberFormat="1" applyFont="1" applyFill="1"/>
    <xf numFmtId="0" fontId="1" fillId="0" borderId="0" xfId="0" applyFont="1" applyBorder="1" applyAlignment="1">
      <alignment horizontal="center"/>
    </xf>
    <xf numFmtId="0" fontId="15" fillId="0" borderId="0" xfId="0" applyFont="1" applyBorder="1"/>
    <xf numFmtId="0" fontId="15" fillId="0" borderId="0" xfId="0" applyFont="1" applyFill="1" applyBorder="1" applyAlignment="1">
      <alignment horizontal="center"/>
    </xf>
    <xf numFmtId="0" fontId="15" fillId="0" borderId="0" xfId="0" applyFont="1" applyFill="1" applyBorder="1"/>
    <xf numFmtId="0" fontId="0" fillId="0" borderId="0" xfId="0" applyFont="1" applyBorder="1" applyAlignment="1">
      <alignment horizontal="center"/>
    </xf>
    <xf numFmtId="166" fontId="6" fillId="0" borderId="0" xfId="1" applyNumberFormat="1" applyFont="1" applyBorder="1" applyAlignment="1">
      <alignment horizontal="center"/>
    </xf>
    <xf numFmtId="0" fontId="0" fillId="0" borderId="0" xfId="0" applyFont="1" applyBorder="1"/>
    <xf numFmtId="0" fontId="0" fillId="4" borderId="0" xfId="0" applyFont="1" applyFill="1" applyBorder="1"/>
    <xf numFmtId="0" fontId="16" fillId="4" borderId="0" xfId="0" applyFont="1" applyFill="1" applyBorder="1" applyAlignment="1">
      <alignment horizontal="center"/>
    </xf>
    <xf numFmtId="0" fontId="1" fillId="4" borderId="0" xfId="0" applyFont="1" applyFill="1" applyBorder="1"/>
    <xf numFmtId="0" fontId="16" fillId="4" borderId="0" xfId="4" applyFont="1" applyFill="1" applyBorder="1" applyAlignment="1">
      <alignment horizontal="center"/>
    </xf>
    <xf numFmtId="0" fontId="18" fillId="6" borderId="0" xfId="3" applyFont="1" applyFill="1" applyBorder="1" applyAlignment="1">
      <alignment horizontal="center"/>
    </xf>
    <xf numFmtId="0" fontId="19" fillId="2" borderId="0" xfId="0" applyFont="1" applyFill="1" applyBorder="1" applyAlignment="1">
      <alignment horizontal="center"/>
    </xf>
    <xf numFmtId="0" fontId="20" fillId="2" borderId="0" xfId="0" applyFont="1" applyFill="1" applyBorder="1" applyAlignment="1">
      <alignment horizontal="center"/>
    </xf>
    <xf numFmtId="0" fontId="21" fillId="2" borderId="0" xfId="0" applyFont="1" applyFill="1" applyBorder="1" applyAlignment="1">
      <alignment horizontal="center"/>
    </xf>
    <xf numFmtId="0" fontId="21" fillId="6" borderId="0" xfId="0" applyFont="1" applyFill="1" applyBorder="1" applyAlignment="1">
      <alignment horizontal="center"/>
    </xf>
    <xf numFmtId="0" fontId="21" fillId="4" borderId="0" xfId="0" applyFont="1" applyFill="1" applyBorder="1" applyAlignment="1">
      <alignment horizontal="center"/>
    </xf>
    <xf numFmtId="0" fontId="1" fillId="0" borderId="0" xfId="0" applyFont="1" applyFill="1" applyBorder="1" applyAlignment="1">
      <alignment horizontal="center"/>
    </xf>
    <xf numFmtId="14" fontId="22" fillId="0" borderId="0" xfId="0" applyNumberFormat="1" applyFont="1" applyFill="1" applyBorder="1" applyAlignment="1">
      <alignment horizontal="left" vertical="center"/>
    </xf>
    <xf numFmtId="0" fontId="22" fillId="0" borderId="0" xfId="0" applyFont="1" applyFill="1" applyBorder="1" applyAlignment="1">
      <alignment horizontal="left"/>
    </xf>
    <xf numFmtId="43" fontId="22" fillId="0" borderId="0" xfId="1" applyFont="1" applyFill="1" applyBorder="1" applyAlignment="1">
      <alignment horizontal="center"/>
    </xf>
    <xf numFmtId="43" fontId="22" fillId="0" borderId="0" xfId="1" applyFont="1" applyFill="1" applyBorder="1"/>
    <xf numFmtId="166" fontId="1" fillId="0" borderId="0" xfId="1" applyNumberFormat="1" applyFont="1" applyFill="1" applyBorder="1" applyAlignment="1">
      <alignment horizontal="center"/>
    </xf>
    <xf numFmtId="43" fontId="1" fillId="0" borderId="0" xfId="1" applyFont="1" applyFill="1" applyBorder="1"/>
    <xf numFmtId="43" fontId="1" fillId="4" borderId="0" xfId="1" applyFont="1" applyFill="1" applyBorder="1"/>
    <xf numFmtId="0" fontId="1" fillId="0" borderId="0" xfId="0" applyFont="1" applyFill="1" applyBorder="1"/>
    <xf numFmtId="44" fontId="6" fillId="0" borderId="0" xfId="2" applyFont="1" applyFill="1" applyBorder="1"/>
    <xf numFmtId="0" fontId="0" fillId="0" borderId="0" xfId="0" applyFont="1" applyFill="1" applyBorder="1"/>
    <xf numFmtId="166" fontId="6" fillId="0" borderId="0" xfId="1" applyNumberFormat="1" applyFont="1" applyFill="1" applyBorder="1" applyAlignment="1">
      <alignment horizontal="center"/>
    </xf>
    <xf numFmtId="0" fontId="22" fillId="0" borderId="0" xfId="0" applyFont="1" applyFill="1" applyBorder="1" applyAlignment="1">
      <alignment horizontal="left" wrapText="1"/>
    </xf>
    <xf numFmtId="14" fontId="22" fillId="4" borderId="0" xfId="0" applyNumberFormat="1" applyFont="1" applyFill="1" applyBorder="1" applyAlignment="1">
      <alignment horizontal="left" vertical="center"/>
    </xf>
    <xf numFmtId="0" fontId="22" fillId="4" borderId="0" xfId="0" applyFont="1" applyFill="1" applyBorder="1" applyAlignment="1">
      <alignment horizontal="left"/>
    </xf>
    <xf numFmtId="43" fontId="22" fillId="4" borderId="0" xfId="1" applyFont="1" applyFill="1" applyBorder="1" applyAlignment="1">
      <alignment horizontal="center"/>
    </xf>
    <xf numFmtId="0" fontId="1" fillId="4" borderId="0" xfId="0" applyFont="1" applyFill="1" applyBorder="1" applyAlignment="1">
      <alignment horizontal="center"/>
    </xf>
    <xf numFmtId="166" fontId="1" fillId="4" borderId="0" xfId="1" applyNumberFormat="1" applyFont="1" applyFill="1" applyBorder="1" applyAlignment="1">
      <alignment horizontal="center"/>
    </xf>
    <xf numFmtId="44" fontId="6" fillId="4" borderId="0" xfId="2" applyFont="1" applyFill="1" applyBorder="1"/>
    <xf numFmtId="43" fontId="6" fillId="0" borderId="0" xfId="1" applyFont="1" applyFill="1" applyBorder="1"/>
    <xf numFmtId="166" fontId="6" fillId="4" borderId="0" xfId="1" applyNumberFormat="1" applyFont="1" applyFill="1" applyBorder="1" applyAlignment="1">
      <alignment horizontal="center"/>
    </xf>
    <xf numFmtId="0" fontId="22" fillId="0" borderId="0" xfId="0" applyFont="1" applyFill="1" applyBorder="1" applyAlignment="1"/>
    <xf numFmtId="14" fontId="23" fillId="0" borderId="0" xfId="0" applyNumberFormat="1" applyFont="1" applyFill="1" applyBorder="1" applyAlignment="1">
      <alignment horizontal="left" vertical="center"/>
    </xf>
    <xf numFmtId="0" fontId="23" fillId="0" borderId="0" xfId="0" applyFont="1" applyFill="1" applyBorder="1" applyAlignment="1">
      <alignment horizontal="left"/>
    </xf>
    <xf numFmtId="0" fontId="5" fillId="0" borderId="0" xfId="0" applyFont="1" applyFill="1" applyBorder="1" applyAlignment="1">
      <alignment horizontal="center"/>
    </xf>
    <xf numFmtId="166" fontId="5" fillId="0" borderId="0" xfId="1" applyNumberFormat="1" applyFont="1" applyFill="1" applyBorder="1" applyAlignment="1">
      <alignment horizontal="center"/>
    </xf>
    <xf numFmtId="43" fontId="5" fillId="0" borderId="0" xfId="1" applyFont="1" applyFill="1" applyBorder="1"/>
    <xf numFmtId="43" fontId="5" fillId="4" borderId="0" xfId="1" applyFont="1" applyFill="1" applyBorder="1"/>
    <xf numFmtId="0" fontId="5" fillId="0" borderId="0" xfId="0" applyFont="1" applyFill="1" applyBorder="1"/>
    <xf numFmtId="44" fontId="24" fillId="0" borderId="0" xfId="2" applyFont="1" applyFill="1" applyBorder="1"/>
    <xf numFmtId="0" fontId="24" fillId="0" borderId="0" xfId="0" applyFont="1" applyFill="1" applyBorder="1"/>
    <xf numFmtId="14" fontId="23" fillId="4" borderId="0" xfId="0" applyNumberFormat="1" applyFont="1" applyFill="1" applyBorder="1" applyAlignment="1">
      <alignment horizontal="left" vertical="center"/>
    </xf>
    <xf numFmtId="0" fontId="23" fillId="4" borderId="0" xfId="0" applyFont="1" applyFill="1" applyBorder="1" applyAlignment="1">
      <alignment horizontal="left"/>
    </xf>
    <xf numFmtId="0" fontId="5" fillId="4" borderId="0" xfId="0" applyFont="1" applyFill="1" applyBorder="1" applyAlignment="1">
      <alignment horizontal="center"/>
    </xf>
    <xf numFmtId="166" fontId="5" fillId="4" borderId="0" xfId="1" applyNumberFormat="1" applyFont="1" applyFill="1" applyBorder="1" applyAlignment="1">
      <alignment horizontal="center"/>
    </xf>
    <xf numFmtId="0" fontId="5" fillId="4" borderId="0" xfId="0" applyFont="1" applyFill="1" applyBorder="1"/>
    <xf numFmtId="44" fontId="24" fillId="4" borderId="0" xfId="2" applyFont="1" applyFill="1" applyBorder="1"/>
    <xf numFmtId="0" fontId="24" fillId="4" borderId="0" xfId="0" applyFont="1" applyFill="1" applyBorder="1"/>
    <xf numFmtId="43" fontId="24" fillId="4" borderId="0" xfId="1" applyFont="1" applyFill="1" applyBorder="1"/>
    <xf numFmtId="0" fontId="22" fillId="4" borderId="0" xfId="0" applyFont="1" applyFill="1" applyBorder="1"/>
    <xf numFmtId="43" fontId="22" fillId="0" borderId="0" xfId="0" applyNumberFormat="1" applyFont="1" applyFill="1" applyBorder="1" applyAlignment="1">
      <alignment horizontal="center"/>
    </xf>
    <xf numFmtId="43" fontId="20" fillId="0" borderId="8" xfId="0" applyNumberFormat="1" applyFont="1" applyFill="1" applyBorder="1"/>
    <xf numFmtId="43" fontId="1" fillId="4" borderId="0" xfId="0" applyNumberFormat="1" applyFont="1" applyFill="1" applyBorder="1"/>
    <xf numFmtId="43" fontId="1" fillId="4" borderId="0" xfId="1" applyNumberFormat="1" applyFont="1" applyFill="1" applyBorder="1"/>
    <xf numFmtId="43" fontId="6" fillId="4" borderId="0" xfId="1" applyFont="1" applyFill="1" applyBorder="1"/>
    <xf numFmtId="0" fontId="18" fillId="6" borderId="0" xfId="3" applyFont="1" applyFill="1" applyBorder="1" applyAlignment="1"/>
    <xf numFmtId="0" fontId="18" fillId="6" borderId="0" xfId="3" applyFont="1" applyFill="1" applyBorder="1" applyAlignment="1">
      <alignment horizontal="center"/>
    </xf>
    <xf numFmtId="0" fontId="7" fillId="3" borderId="0" xfId="3" applyBorder="1" applyAlignment="1">
      <alignment horizontal="center"/>
    </xf>
    <xf numFmtId="43" fontId="23" fillId="4" borderId="0" xfId="1" applyFont="1" applyFill="1" applyBorder="1"/>
    <xf numFmtId="0" fontId="25" fillId="4" borderId="0" xfId="0" applyFont="1" applyFill="1" applyBorder="1" applyAlignment="1">
      <alignment horizontal="center" vertical="center"/>
    </xf>
    <xf numFmtId="43" fontId="20" fillId="4" borderId="0" xfId="1" applyFont="1" applyFill="1" applyBorder="1" applyAlignment="1">
      <alignment horizontal="center"/>
    </xf>
    <xf numFmtId="0" fontId="0" fillId="0" borderId="0" xfId="0" applyFont="1" applyBorder="1" applyAlignment="1"/>
    <xf numFmtId="43" fontId="23" fillId="4" borderId="0" xfId="1" applyFont="1" applyFill="1" applyBorder="1" applyAlignment="1">
      <alignment horizontal="center"/>
    </xf>
    <xf numFmtId="0" fontId="26" fillId="4" borderId="0" xfId="0" applyFont="1" applyFill="1" applyBorder="1" applyAlignment="1">
      <alignment horizontal="center" vertical="center"/>
    </xf>
    <xf numFmtId="0" fontId="26" fillId="0" borderId="0" xfId="0" applyFont="1" applyFill="1" applyBorder="1" applyAlignment="1">
      <alignment horizontal="center" vertical="center"/>
    </xf>
    <xf numFmtId="43" fontId="0" fillId="4" borderId="0" xfId="0" applyNumberFormat="1" applyFont="1" applyFill="1" applyBorder="1" applyAlignment="1">
      <alignment horizontal="center"/>
    </xf>
    <xf numFmtId="43" fontId="20" fillId="4" borderId="8" xfId="0" applyNumberFormat="1" applyFont="1" applyFill="1" applyBorder="1"/>
    <xf numFmtId="0" fontId="0" fillId="4" borderId="0" xfId="0" applyFont="1" applyFill="1" applyBorder="1" applyAlignment="1">
      <alignment horizontal="center"/>
    </xf>
    <xf numFmtId="0" fontId="1" fillId="6" borderId="0" xfId="0" applyFont="1" applyFill="1" applyBorder="1" applyAlignment="1">
      <alignment horizontal="center"/>
    </xf>
    <xf numFmtId="43" fontId="0" fillId="0" borderId="0" xfId="0" applyNumberFormat="1" applyFont="1" applyFill="1" applyBorder="1" applyAlignment="1">
      <alignment horizontal="center"/>
    </xf>
    <xf numFmtId="43" fontId="0" fillId="0" borderId="0" xfId="0" applyNumberFormat="1" applyFont="1" applyBorder="1"/>
    <xf numFmtId="0" fontId="0" fillId="0" borderId="0" xfId="0" applyFont="1" applyFill="1" applyBorder="1" applyAlignment="1">
      <alignment horizontal="center"/>
    </xf>
    <xf numFmtId="43" fontId="0" fillId="0" borderId="0" xfId="0" applyNumberFormat="1" applyFont="1" applyFill="1" applyBorder="1"/>
    <xf numFmtId="0" fontId="18" fillId="6" borderId="9" xfId="3" applyFont="1" applyFill="1" applyBorder="1" applyAlignment="1">
      <alignment horizontal="center"/>
    </xf>
    <xf numFmtId="0" fontId="0" fillId="6" borderId="0" xfId="0" applyFont="1" applyFill="1" applyBorder="1" applyAlignment="1">
      <alignment horizontal="center"/>
    </xf>
    <xf numFmtId="0" fontId="27" fillId="0" borderId="0" xfId="0" applyFont="1"/>
    <xf numFmtId="0" fontId="28" fillId="4" borderId="0" xfId="0" applyFont="1" applyFill="1" applyBorder="1"/>
    <xf numFmtId="0" fontId="29" fillId="0" borderId="0" xfId="4" applyFont="1" applyFill="1" applyBorder="1" applyAlignment="1">
      <alignment horizontal="center"/>
    </xf>
    <xf numFmtId="0" fontId="30" fillId="0" borderId="0" xfId="4" applyFont="1" applyFill="1" applyBorder="1" applyAlignment="1">
      <alignment horizontal="center"/>
    </xf>
    <xf numFmtId="0" fontId="0" fillId="0" borderId="0" xfId="0" applyBorder="1" applyAlignment="1">
      <alignment vertical="top"/>
    </xf>
    <xf numFmtId="0" fontId="0" fillId="0" borderId="0" xfId="0" applyBorder="1" applyAlignment="1">
      <alignment horizontal="center" vertical="top"/>
    </xf>
    <xf numFmtId="43" fontId="0" fillId="0" borderId="0" xfId="1" applyFont="1" applyBorder="1" applyAlignment="1">
      <alignment vertical="top"/>
    </xf>
    <xf numFmtId="0" fontId="0" fillId="0" borderId="0" xfId="0" applyAlignment="1"/>
    <xf numFmtId="0" fontId="0" fillId="0" borderId="0" xfId="0" applyAlignment="1">
      <alignment horizontal="center"/>
    </xf>
    <xf numFmtId="43" fontId="0" fillId="0" borderId="0" xfId="1" applyFont="1" applyAlignment="1"/>
    <xf numFmtId="0" fontId="31" fillId="0" borderId="10" xfId="0" applyFont="1" applyBorder="1" applyAlignment="1">
      <alignment horizontal="left" vertical="top"/>
    </xf>
    <xf numFmtId="0" fontId="31" fillId="0" borderId="11" xfId="0" applyFont="1" applyBorder="1" applyAlignment="1">
      <alignment vertical="top"/>
    </xf>
    <xf numFmtId="0" fontId="31" fillId="0" borderId="11" xfId="0" applyFont="1" applyBorder="1" applyAlignment="1">
      <alignment horizontal="center" vertical="top"/>
    </xf>
    <xf numFmtId="43" fontId="31" fillId="0" borderId="11" xfId="1" applyFont="1" applyBorder="1" applyAlignment="1">
      <alignment vertical="top"/>
    </xf>
    <xf numFmtId="43" fontId="31" fillId="0" borderId="12" xfId="1" applyFont="1" applyBorder="1" applyAlignment="1">
      <alignment vertical="top"/>
    </xf>
    <xf numFmtId="0" fontId="0" fillId="0" borderId="13" xfId="0" applyBorder="1" applyAlignment="1">
      <alignment horizontal="left" vertical="top"/>
    </xf>
    <xf numFmtId="0" fontId="31" fillId="0" borderId="14" xfId="0" applyFont="1" applyBorder="1" applyAlignment="1">
      <alignment vertical="top"/>
    </xf>
    <xf numFmtId="0" fontId="0" fillId="0" borderId="14" xfId="0" applyBorder="1" applyAlignment="1">
      <alignment horizontal="center" vertical="top"/>
    </xf>
    <xf numFmtId="43" fontId="31" fillId="0" borderId="14" xfId="1" applyFont="1" applyBorder="1" applyAlignment="1">
      <alignment vertical="top"/>
    </xf>
    <xf numFmtId="43" fontId="31" fillId="0" borderId="15" xfId="1" applyFont="1" applyBorder="1" applyAlignment="1">
      <alignment vertical="top"/>
    </xf>
    <xf numFmtId="0" fontId="31" fillId="0" borderId="11" xfId="0" applyFont="1" applyBorder="1" applyAlignment="1">
      <alignment horizontal="center" vertical="top" wrapText="1"/>
    </xf>
    <xf numFmtId="4" fontId="31" fillId="0" borderId="11" xfId="1" applyNumberFormat="1" applyFont="1" applyBorder="1" applyAlignment="1">
      <alignment vertical="top" wrapText="1"/>
    </xf>
    <xf numFmtId="0" fontId="31" fillId="0" borderId="0" xfId="0" applyFont="1" applyBorder="1" applyAlignment="1">
      <alignment vertical="top"/>
    </xf>
    <xf numFmtId="43" fontId="31" fillId="0" borderId="0" xfId="1" applyFont="1" applyBorder="1" applyAlignment="1">
      <alignment vertical="top" shrinkToFit="1"/>
    </xf>
    <xf numFmtId="0" fontId="32" fillId="0" borderId="0" xfId="0" applyFont="1" applyBorder="1" applyAlignment="1">
      <alignment vertical="top"/>
    </xf>
    <xf numFmtId="0" fontId="32" fillId="0" borderId="0" xfId="0" applyFont="1" applyBorder="1" applyAlignment="1">
      <alignment horizontal="center" vertical="top"/>
    </xf>
    <xf numFmtId="43" fontId="32" fillId="0" borderId="0" xfId="1" applyFont="1" applyBorder="1" applyAlignment="1">
      <alignment vertical="top" shrinkToFit="1"/>
    </xf>
    <xf numFmtId="0" fontId="31" fillId="0" borderId="0" xfId="0" applyFont="1" applyBorder="1" applyAlignment="1">
      <alignment horizontal="center" vertical="top"/>
    </xf>
    <xf numFmtId="0" fontId="31" fillId="0" borderId="0" xfId="0" applyFont="1" applyBorder="1" applyAlignment="1">
      <alignment horizontal="center" vertical="top" wrapText="1"/>
    </xf>
    <xf numFmtId="4" fontId="31" fillId="0" borderId="0" xfId="1" applyNumberFormat="1" applyFont="1" applyBorder="1" applyAlignment="1">
      <alignment vertical="top" wrapText="1"/>
    </xf>
    <xf numFmtId="0" fontId="32" fillId="0" borderId="0" xfId="0" applyFont="1" applyBorder="1" applyAlignment="1">
      <alignment vertical="top" wrapText="1"/>
    </xf>
    <xf numFmtId="43" fontId="32" fillId="0" borderId="0" xfId="1" applyFont="1" applyBorder="1" applyAlignment="1">
      <alignment vertical="top" wrapText="1"/>
    </xf>
    <xf numFmtId="0" fontId="32" fillId="0" borderId="0" xfId="0" applyFont="1" applyBorder="1" applyAlignment="1">
      <alignment horizontal="center" vertical="top" wrapText="1"/>
    </xf>
    <xf numFmtId="4" fontId="32" fillId="0" borderId="0" xfId="0" applyNumberFormat="1" applyFont="1" applyBorder="1" applyAlignment="1">
      <alignment vertical="top" wrapText="1"/>
    </xf>
    <xf numFmtId="43" fontId="32" fillId="0" borderId="0" xfId="1" applyFont="1" applyBorder="1" applyAlignment="1">
      <alignment vertical="top"/>
    </xf>
    <xf numFmtId="167" fontId="32" fillId="0" borderId="0" xfId="0" applyNumberFormat="1" applyFont="1" applyBorder="1" applyAlignment="1">
      <alignment vertical="top" shrinkToFit="1"/>
    </xf>
    <xf numFmtId="168" fontId="32" fillId="0" borderId="0" xfId="0" applyNumberFormat="1" applyFont="1" applyBorder="1" applyAlignment="1">
      <alignment vertical="top" shrinkToFit="1"/>
    </xf>
    <xf numFmtId="4" fontId="31" fillId="0" borderId="0" xfId="0" applyNumberFormat="1" applyFont="1" applyBorder="1" applyAlignment="1">
      <alignment vertical="top" wrapText="1"/>
    </xf>
    <xf numFmtId="0" fontId="32" fillId="0" borderId="0" xfId="0" applyNumberFormat="1" applyFont="1" applyBorder="1" applyAlignment="1">
      <alignment vertical="top" wrapText="1"/>
    </xf>
    <xf numFmtId="0" fontId="31" fillId="0" borderId="0" xfId="0" applyNumberFormat="1" applyFont="1" applyBorder="1" applyAlignment="1">
      <alignment vertical="top" wrapText="1"/>
    </xf>
    <xf numFmtId="0" fontId="0" fillId="0" borderId="0" xfId="0" applyBorder="1"/>
    <xf numFmtId="4" fontId="32" fillId="0" borderId="0" xfId="1" applyNumberFormat="1" applyFont="1" applyBorder="1" applyAlignment="1">
      <alignment vertical="top" wrapText="1"/>
    </xf>
    <xf numFmtId="167" fontId="31" fillId="0" borderId="0" xfId="0" applyNumberFormat="1" applyFont="1" applyBorder="1" applyAlignment="1">
      <alignment vertical="top" shrinkToFit="1"/>
    </xf>
    <xf numFmtId="43" fontId="0" fillId="0" borderId="0" xfId="1" applyFont="1"/>
    <xf numFmtId="0" fontId="33" fillId="0" borderId="0" xfId="0" applyFont="1"/>
    <xf numFmtId="0" fontId="34"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36" fillId="0" borderId="16" xfId="0" applyFont="1" applyBorder="1" applyAlignment="1">
      <alignment vertical="top" wrapText="1" readingOrder="1"/>
    </xf>
    <xf numFmtId="0" fontId="36" fillId="0" borderId="0" xfId="0" applyFont="1" applyBorder="1" applyAlignment="1">
      <alignment vertical="top" wrapText="1" readingOrder="1"/>
    </xf>
    <xf numFmtId="43" fontId="36" fillId="0" borderId="0" xfId="1" applyFont="1" applyBorder="1" applyAlignment="1">
      <alignment vertical="top" wrapText="1" readingOrder="1"/>
    </xf>
    <xf numFmtId="43" fontId="36" fillId="0" borderId="0" xfId="0" applyNumberFormat="1" applyFont="1" applyBorder="1" applyAlignment="1">
      <alignment vertical="top" wrapText="1" readingOrder="1"/>
    </xf>
    <xf numFmtId="43" fontId="36" fillId="0" borderId="0" xfId="0" applyNumberFormat="1" applyFont="1" applyBorder="1" applyAlignment="1">
      <alignment horizontal="right" wrapText="1" readingOrder="1"/>
    </xf>
    <xf numFmtId="0" fontId="25" fillId="0" borderId="0" xfId="0" applyFont="1"/>
    <xf numFmtId="0" fontId="37" fillId="7" borderId="17" xfId="0" applyFont="1" applyFill="1" applyBorder="1" applyAlignment="1">
      <alignment horizontal="center" vertical="center"/>
    </xf>
    <xf numFmtId="43" fontId="37" fillId="7" borderId="17" xfId="1" applyFont="1" applyFill="1" applyBorder="1" applyAlignment="1">
      <alignment horizontal="center" vertical="center" wrapText="1"/>
    </xf>
    <xf numFmtId="0" fontId="37" fillId="8" borderId="18" xfId="0" applyFont="1" applyFill="1" applyBorder="1" applyAlignment="1">
      <alignment horizontal="center" vertical="center" wrapText="1"/>
    </xf>
    <xf numFmtId="0" fontId="37" fillId="8" borderId="3" xfId="0" applyFont="1" applyFill="1" applyBorder="1" applyAlignment="1">
      <alignment horizontal="center" vertical="center"/>
    </xf>
    <xf numFmtId="0" fontId="37" fillId="8" borderId="4" xfId="0" applyFont="1" applyFill="1" applyBorder="1" applyAlignment="1">
      <alignment horizontal="center" vertical="center"/>
    </xf>
    <xf numFmtId="0" fontId="37" fillId="8" borderId="5" xfId="0" applyFont="1" applyFill="1" applyBorder="1" applyAlignment="1">
      <alignment horizontal="center" vertical="center"/>
    </xf>
    <xf numFmtId="0" fontId="35" fillId="0" borderId="0" xfId="0" applyFont="1"/>
    <xf numFmtId="0" fontId="37" fillId="8" borderId="19" xfId="0" applyFont="1" applyFill="1" applyBorder="1" applyAlignment="1">
      <alignment horizontal="center" vertical="center" wrapText="1"/>
    </xf>
    <xf numFmtId="0" fontId="37" fillId="8" borderId="17" xfId="0" applyFont="1" applyFill="1" applyBorder="1" applyAlignment="1">
      <alignment horizontal="center" vertical="center"/>
    </xf>
    <xf numFmtId="0" fontId="37" fillId="0" borderId="20" xfId="0" applyFont="1" applyBorder="1" applyAlignment="1">
      <alignment horizontal="left"/>
    </xf>
    <xf numFmtId="43" fontId="37" fillId="0" borderId="20" xfId="1" applyFont="1" applyBorder="1"/>
    <xf numFmtId="43" fontId="37" fillId="4" borderId="20" xfId="1" applyFont="1" applyFill="1" applyBorder="1" applyAlignment="1">
      <alignment horizontal="left" vertical="center" wrapText="1"/>
    </xf>
    <xf numFmtId="0" fontId="37" fillId="0" borderId="0" xfId="0" applyFont="1" applyAlignment="1">
      <alignment horizontal="left" indent="1"/>
    </xf>
    <xf numFmtId="43" fontId="37" fillId="2" borderId="0" xfId="1" applyFont="1" applyFill="1" applyAlignment="1">
      <alignment vertical="center" wrapText="1"/>
    </xf>
    <xf numFmtId="43" fontId="37" fillId="2" borderId="0" xfId="1" applyFont="1" applyFill="1"/>
    <xf numFmtId="0" fontId="25" fillId="0" borderId="0" xfId="0" applyFont="1" applyAlignment="1">
      <alignment horizontal="left" indent="2"/>
    </xf>
    <xf numFmtId="43" fontId="25" fillId="0" borderId="0" xfId="1" applyFont="1" applyAlignment="1">
      <alignment vertical="center" wrapText="1"/>
    </xf>
    <xf numFmtId="43" fontId="25" fillId="0" borderId="0" xfId="1" applyFont="1"/>
    <xf numFmtId="43" fontId="25" fillId="0" borderId="0" xfId="1" applyFont="1" applyFill="1" applyAlignment="1">
      <alignment vertical="center" wrapText="1"/>
    </xf>
    <xf numFmtId="43" fontId="37" fillId="8" borderId="21" xfId="1" applyFont="1" applyFill="1" applyBorder="1"/>
    <xf numFmtId="43" fontId="37" fillId="8" borderId="0" xfId="1" applyFont="1" applyFill="1"/>
    <xf numFmtId="43" fontId="25" fillId="0" borderId="0" xfId="1" applyFont="1" applyAlignment="1">
      <alignment horizontal="left" vertical="center" wrapText="1"/>
    </xf>
    <xf numFmtId="43" fontId="37" fillId="0" borderId="0" xfId="1" applyFont="1" applyAlignment="1">
      <alignment vertical="center" wrapText="1"/>
    </xf>
    <xf numFmtId="43" fontId="37" fillId="2" borderId="21" xfId="1" applyFont="1" applyFill="1" applyBorder="1"/>
    <xf numFmtId="43" fontId="37" fillId="4" borderId="0" xfId="1" applyFont="1" applyFill="1" applyAlignment="1">
      <alignment vertical="center" wrapText="1"/>
    </xf>
    <xf numFmtId="0" fontId="25" fillId="0" borderId="0" xfId="0" applyFont="1" applyBorder="1" applyAlignment="1">
      <alignment horizontal="left" indent="2"/>
    </xf>
    <xf numFmtId="43" fontId="25" fillId="4" borderId="0" xfId="1" applyFont="1" applyFill="1" applyBorder="1" applyAlignment="1">
      <alignment vertical="center" wrapText="1"/>
    </xf>
    <xf numFmtId="0" fontId="37" fillId="7" borderId="22" xfId="0" applyFont="1" applyFill="1" applyBorder="1" applyAlignment="1">
      <alignment vertical="center"/>
    </xf>
    <xf numFmtId="43" fontId="37" fillId="7" borderId="0" xfId="1" applyFont="1" applyFill="1" applyBorder="1"/>
    <xf numFmtId="0" fontId="38" fillId="0" borderId="0" xfId="0" applyFont="1"/>
    <xf numFmtId="0" fontId="37" fillId="4" borderId="0" xfId="0" applyFont="1" applyFill="1"/>
    <xf numFmtId="0" fontId="25" fillId="0" borderId="0" xfId="0" applyFont="1" applyBorder="1" applyAlignment="1"/>
    <xf numFmtId="169" fontId="39" fillId="9" borderId="0" xfId="0" applyNumberFormat="1" applyFont="1" applyFill="1" applyBorder="1"/>
    <xf numFmtId="0" fontId="25" fillId="0" borderId="0" xfId="0" applyFont="1" applyBorder="1"/>
    <xf numFmtId="0" fontId="36" fillId="0" borderId="0" xfId="0" applyFont="1" applyAlignment="1">
      <alignment horizontal="left" vertical="center"/>
    </xf>
    <xf numFmtId="0" fontId="40" fillId="9" borderId="0" xfId="0" applyFont="1" applyFill="1" applyBorder="1" applyAlignment="1">
      <alignment vertical="center"/>
    </xf>
    <xf numFmtId="166" fontId="25" fillId="4" borderId="0" xfId="0" applyNumberFormat="1" applyFont="1" applyFill="1" applyBorder="1" applyAlignment="1">
      <alignment vertical="center" wrapText="1"/>
    </xf>
    <xf numFmtId="166" fontId="41" fillId="4" borderId="0" xfId="0" applyNumberFormat="1" applyFont="1" applyFill="1" applyAlignment="1">
      <alignment vertical="center" wrapText="1"/>
    </xf>
    <xf numFmtId="0" fontId="37" fillId="0" borderId="0" xfId="0" applyFont="1" applyBorder="1" applyAlignment="1">
      <alignment horizontal="center" vertical="center"/>
    </xf>
    <xf numFmtId="0" fontId="37" fillId="0" borderId="0" xfId="0" applyFont="1" applyBorder="1" applyAlignment="1">
      <alignment horizontal="center"/>
    </xf>
    <xf numFmtId="0" fontId="25" fillId="0" borderId="0" xfId="0" applyFont="1" applyBorder="1" applyAlignment="1">
      <alignment horizontal="center"/>
    </xf>
    <xf numFmtId="0" fontId="37" fillId="0" borderId="0" xfId="0" applyFont="1" applyBorder="1" applyAlignment="1">
      <alignment vertical="center"/>
    </xf>
    <xf numFmtId="0" fontId="42" fillId="0" borderId="0" xfId="0" applyFont="1" applyBorder="1" applyAlignment="1">
      <alignment horizontal="center"/>
    </xf>
    <xf numFmtId="0" fontId="25" fillId="0" borderId="2" xfId="0" applyFont="1" applyBorder="1" applyAlignment="1">
      <alignment vertical="center"/>
    </xf>
    <xf numFmtId="0" fontId="42" fillId="0" borderId="2" xfId="0" applyFont="1" applyBorder="1" applyAlignment="1">
      <alignment horizontal="center"/>
    </xf>
    <xf numFmtId="0" fontId="25" fillId="0" borderId="0" xfId="0" applyFont="1" applyBorder="1" applyAlignment="1">
      <alignment horizontal="center" vertical="center"/>
    </xf>
    <xf numFmtId="0" fontId="25" fillId="0" borderId="0" xfId="0" applyFont="1" applyBorder="1" applyAlignment="1">
      <alignment horizontal="center"/>
    </xf>
    <xf numFmtId="0" fontId="25" fillId="0" borderId="6" xfId="0" applyFont="1" applyBorder="1" applyAlignment="1">
      <alignment horizontal="center" vertical="center"/>
    </xf>
    <xf numFmtId="0" fontId="37" fillId="0" borderId="0" xfId="0" applyFont="1" applyBorder="1" applyAlignment="1"/>
    <xf numFmtId="0" fontId="37" fillId="0" borderId="0" xfId="0" applyFont="1" applyBorder="1" applyAlignment="1">
      <alignment horizontal="center"/>
    </xf>
  </cellXfs>
  <cellStyles count="5">
    <cellStyle name="Énfasis5" xfId="3" builtinId="45"/>
    <cellStyle name="Millares" xfId="1" builtinId="3"/>
    <cellStyle name="Moneda" xfId="2" builtinId="4"/>
    <cellStyle name="Normal" xfId="0" builtinId="0"/>
    <cellStyle name="Normal 3" xfId="4" xr:uid="{C2327F57-D632-43B7-B7E9-CBCA9777FA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D2DE0B.4AE0F8F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552451</xdr:colOff>
      <xdr:row>0</xdr:row>
      <xdr:rowOff>9525</xdr:rowOff>
    </xdr:from>
    <xdr:to>
      <xdr:col>5</xdr:col>
      <xdr:colOff>76201</xdr:colOff>
      <xdr:row>2</xdr:row>
      <xdr:rowOff>0</xdr:rowOff>
    </xdr:to>
    <xdr:pic>
      <xdr:nvPicPr>
        <xdr:cNvPr id="2" name="Imagen 1" descr="LOGO IGN">
          <a:extLst>
            <a:ext uri="{FF2B5EF4-FFF2-40B4-BE49-F238E27FC236}">
              <a16:creationId xmlns:a16="http://schemas.microsoft.com/office/drawing/2014/main" id="{9F26BC07-FE81-4CC9-87F6-4E93EE451688}"/>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33626" y="9525"/>
          <a:ext cx="1047750" cy="3714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Contabilidad/Diciembre%202023/Cierre%20fiscal%202023/Cierre%20Fiscal%20ene-dic%202023%20CORREGIDO%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de Situación"/>
      <sheetName val="Est. de Rendimiento Fin"/>
      <sheetName val="Cambio del Patrimonio"/>
      <sheetName val="Flujo de Efectivo"/>
      <sheetName val="Estado Comparativo"/>
      <sheetName val="Notas 1-6 Historia"/>
      <sheetName val="Notas 7-18"/>
    </sheetNames>
    <sheetDataSet>
      <sheetData sheetId="0">
        <row r="37">
          <cell r="C37">
            <v>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2935C-D9AA-4E59-97FB-5F3460998D2F}">
  <dimension ref="B3:I133"/>
  <sheetViews>
    <sheetView showGridLines="0" topLeftCell="A31" workbookViewId="0">
      <selection activeCell="B42" sqref="B42:H42"/>
    </sheetView>
  </sheetViews>
  <sheetFormatPr baseColWidth="10" defaultColWidth="11.42578125" defaultRowHeight="15" x14ac:dyDescent="0.25"/>
  <cols>
    <col min="1" max="1" width="3.85546875" style="1" customWidth="1"/>
    <col min="2" max="2" width="11.42578125" style="1" customWidth="1"/>
    <col min="3" max="16384" width="11.42578125" style="1"/>
  </cols>
  <sheetData>
    <row r="3" spans="2:9" ht="15.75" customHeight="1" x14ac:dyDescent="0.25">
      <c r="C3" s="11" t="s">
        <v>0</v>
      </c>
      <c r="D3" s="11"/>
      <c r="E3" s="11"/>
      <c r="F3" s="11"/>
      <c r="G3" s="11"/>
    </row>
    <row r="4" spans="2:9" ht="15.75" customHeight="1" x14ac:dyDescent="0.25">
      <c r="C4" s="11" t="s">
        <v>1</v>
      </c>
      <c r="D4" s="11"/>
      <c r="E4" s="11"/>
      <c r="F4" s="11"/>
      <c r="G4" s="11"/>
    </row>
    <row r="6" spans="2:9" x14ac:dyDescent="0.25">
      <c r="B6" s="12" t="s">
        <v>2</v>
      </c>
      <c r="C6" s="12"/>
      <c r="D6" s="12"/>
      <c r="E6" s="12"/>
      <c r="F6" s="12"/>
      <c r="G6" s="12"/>
    </row>
    <row r="7" spans="2:9" x14ac:dyDescent="0.25">
      <c r="B7" s="13" t="s">
        <v>3</v>
      </c>
      <c r="C7" s="13"/>
      <c r="D7" s="13"/>
      <c r="E7" s="13"/>
      <c r="F7" s="13"/>
      <c r="G7" s="13"/>
      <c r="H7" s="13"/>
    </row>
    <row r="8" spans="2:9" x14ac:dyDescent="0.25">
      <c r="B8" s="2"/>
      <c r="C8" s="2"/>
      <c r="D8" s="2"/>
      <c r="E8" s="2"/>
      <c r="F8" s="2"/>
      <c r="G8" s="2"/>
    </row>
    <row r="9" spans="2:9" s="4" customFormat="1" ht="77.25" customHeight="1" x14ac:dyDescent="0.25">
      <c r="B9" s="8" t="s">
        <v>4</v>
      </c>
      <c r="C9" s="8"/>
      <c r="D9" s="8"/>
      <c r="E9" s="8"/>
      <c r="F9" s="8"/>
      <c r="G9" s="8"/>
      <c r="H9" s="8"/>
      <c r="I9" s="3"/>
    </row>
    <row r="11" spans="2:9" ht="45.75" customHeight="1" x14ac:dyDescent="0.25">
      <c r="B11" s="8" t="s">
        <v>5</v>
      </c>
      <c r="C11" s="8"/>
      <c r="D11" s="8"/>
      <c r="E11" s="8"/>
      <c r="F11" s="8"/>
      <c r="G11" s="8"/>
      <c r="H11" s="8"/>
    </row>
    <row r="12" spans="2:9" ht="16.5" customHeight="1" x14ac:dyDescent="0.25">
      <c r="B12" s="5"/>
      <c r="C12" s="5"/>
      <c r="D12" s="5"/>
      <c r="E12" s="5"/>
      <c r="F12" s="5"/>
      <c r="G12" s="5"/>
      <c r="H12" s="5"/>
    </row>
    <row r="13" spans="2:9" ht="98.25" customHeight="1" x14ac:dyDescent="0.25">
      <c r="B13" s="8" t="s">
        <v>6</v>
      </c>
      <c r="C13" s="8"/>
      <c r="D13" s="8"/>
      <c r="E13" s="8"/>
      <c r="F13" s="8"/>
      <c r="G13" s="8"/>
      <c r="H13" s="8"/>
    </row>
    <row r="14" spans="2:9" ht="56.25" customHeight="1" x14ac:dyDescent="0.25">
      <c r="B14" s="8" t="s">
        <v>7</v>
      </c>
      <c r="C14" s="8"/>
      <c r="D14" s="8"/>
      <c r="E14" s="8"/>
      <c r="F14" s="8"/>
      <c r="G14" s="8"/>
      <c r="H14" s="8"/>
    </row>
    <row r="16" spans="2:9" ht="48" customHeight="1" x14ac:dyDescent="0.25">
      <c r="B16" s="8" t="s">
        <v>8</v>
      </c>
      <c r="C16" s="8"/>
      <c r="D16" s="8"/>
      <c r="E16" s="8"/>
      <c r="F16" s="8"/>
      <c r="G16" s="8"/>
      <c r="H16" s="8"/>
    </row>
    <row r="18" spans="2:8" x14ac:dyDescent="0.25">
      <c r="B18" s="6" t="s">
        <v>9</v>
      </c>
    </row>
    <row r="20" spans="2:8" ht="36.75" customHeight="1" x14ac:dyDescent="0.25">
      <c r="B20" s="8" t="s">
        <v>10</v>
      </c>
      <c r="C20" s="8"/>
      <c r="D20" s="8"/>
      <c r="E20" s="8"/>
      <c r="F20" s="8"/>
      <c r="G20" s="8"/>
      <c r="H20" s="8"/>
    </row>
    <row r="22" spans="2:8" ht="29.25" customHeight="1" x14ac:dyDescent="0.25">
      <c r="B22" s="8" t="s">
        <v>11</v>
      </c>
      <c r="C22" s="8"/>
      <c r="D22" s="8"/>
      <c r="E22" s="8"/>
      <c r="F22" s="8"/>
      <c r="G22" s="8"/>
      <c r="H22" s="8"/>
    </row>
    <row r="24" spans="2:8" ht="63" customHeight="1" x14ac:dyDescent="0.25">
      <c r="B24" s="8" t="s">
        <v>12</v>
      </c>
      <c r="C24" s="8"/>
      <c r="D24" s="8"/>
      <c r="E24" s="8"/>
      <c r="F24" s="8"/>
      <c r="G24" s="8"/>
      <c r="H24" s="8"/>
    </row>
    <row r="26" spans="2:8" x14ac:dyDescent="0.25">
      <c r="B26" s="6" t="s">
        <v>13</v>
      </c>
    </row>
    <row r="28" spans="2:8" ht="32.25" customHeight="1" x14ac:dyDescent="0.25">
      <c r="B28" s="8" t="s">
        <v>14</v>
      </c>
      <c r="C28" s="8"/>
      <c r="D28" s="8"/>
      <c r="E28" s="8"/>
      <c r="F28" s="8"/>
      <c r="G28" s="8"/>
      <c r="H28" s="8"/>
    </row>
    <row r="29" spans="2:8" ht="30" customHeight="1" x14ac:dyDescent="0.25">
      <c r="B29" s="8" t="s">
        <v>15</v>
      </c>
      <c r="C29" s="8"/>
      <c r="D29" s="8"/>
      <c r="E29" s="8"/>
      <c r="F29" s="8"/>
      <c r="G29" s="8"/>
      <c r="H29" s="8"/>
    </row>
    <row r="31" spans="2:8" x14ac:dyDescent="0.25">
      <c r="B31" s="9" t="s">
        <v>16</v>
      </c>
      <c r="C31" s="9"/>
      <c r="D31" s="9"/>
      <c r="E31" s="9"/>
      <c r="F31" s="9"/>
      <c r="G31" s="9"/>
      <c r="H31" s="9"/>
    </row>
    <row r="32" spans="2:8" ht="56.25" customHeight="1" x14ac:dyDescent="0.25">
      <c r="B32" s="8" t="s">
        <v>17</v>
      </c>
      <c r="C32" s="8"/>
      <c r="D32" s="8"/>
      <c r="E32" s="8"/>
      <c r="F32" s="8"/>
      <c r="G32" s="8"/>
      <c r="H32" s="8"/>
    </row>
    <row r="34" spans="2:8" x14ac:dyDescent="0.25">
      <c r="B34" s="9" t="s">
        <v>18</v>
      </c>
      <c r="C34" s="9"/>
      <c r="D34" s="9"/>
      <c r="E34" s="9"/>
      <c r="F34" s="9"/>
      <c r="G34" s="9"/>
      <c r="H34" s="9"/>
    </row>
    <row r="35" spans="2:8" x14ac:dyDescent="0.25">
      <c r="B35" s="8" t="s">
        <v>19</v>
      </c>
      <c r="C35" s="8"/>
      <c r="D35" s="8"/>
      <c r="E35" s="8"/>
      <c r="F35" s="8"/>
      <c r="G35" s="8"/>
      <c r="H35" s="8"/>
    </row>
    <row r="36" spans="2:8" x14ac:dyDescent="0.25">
      <c r="B36" s="8" t="s">
        <v>20</v>
      </c>
      <c r="C36" s="8"/>
      <c r="D36" s="8"/>
      <c r="E36" s="8"/>
      <c r="F36" s="8"/>
      <c r="G36" s="8"/>
      <c r="H36" s="8"/>
    </row>
    <row r="37" spans="2:8" x14ac:dyDescent="0.25">
      <c r="B37" s="8" t="s">
        <v>21</v>
      </c>
      <c r="C37" s="8"/>
      <c r="D37" s="8"/>
      <c r="E37" s="8"/>
      <c r="F37" s="8"/>
      <c r="G37" s="8"/>
      <c r="H37" s="8"/>
    </row>
    <row r="39" spans="2:8" x14ac:dyDescent="0.25">
      <c r="B39" s="10" t="s">
        <v>22</v>
      </c>
      <c r="C39" s="10"/>
      <c r="D39" s="10"/>
      <c r="E39" s="10"/>
      <c r="F39" s="10"/>
      <c r="G39" s="10"/>
      <c r="H39" s="10"/>
    </row>
    <row r="41" spans="2:8" ht="69.75" customHeight="1" x14ac:dyDescent="0.25">
      <c r="B41" s="8" t="s">
        <v>23</v>
      </c>
      <c r="C41" s="8"/>
      <c r="D41" s="8"/>
      <c r="E41" s="8"/>
      <c r="F41" s="8"/>
      <c r="G41" s="8"/>
      <c r="H41" s="8"/>
    </row>
    <row r="42" spans="2:8" ht="54" customHeight="1" x14ac:dyDescent="0.25">
      <c r="B42" s="8" t="s">
        <v>24</v>
      </c>
      <c r="C42" s="8"/>
      <c r="D42" s="8"/>
      <c r="E42" s="8"/>
      <c r="F42" s="8"/>
      <c r="G42" s="8"/>
      <c r="H42" s="8"/>
    </row>
    <row r="43" spans="2:8" ht="36.75" customHeight="1" x14ac:dyDescent="0.25">
      <c r="B43" s="8" t="s">
        <v>25</v>
      </c>
      <c r="C43" s="8"/>
      <c r="D43" s="8"/>
      <c r="E43" s="8"/>
      <c r="F43" s="8"/>
      <c r="G43" s="8"/>
      <c r="H43" s="8"/>
    </row>
    <row r="44" spans="2:8" ht="62.25" customHeight="1" x14ac:dyDescent="0.25">
      <c r="B44" s="8" t="s">
        <v>26</v>
      </c>
      <c r="C44" s="8"/>
      <c r="D44" s="8"/>
      <c r="E44" s="8"/>
      <c r="F44" s="8"/>
      <c r="G44" s="8"/>
      <c r="H44" s="8"/>
    </row>
    <row r="45" spans="2:8" x14ac:dyDescent="0.25">
      <c r="B45" s="7" t="s">
        <v>27</v>
      </c>
    </row>
    <row r="46" spans="2:8" x14ac:dyDescent="0.25">
      <c r="B46" s="10" t="s">
        <v>28</v>
      </c>
      <c r="C46" s="10"/>
      <c r="D46" s="10"/>
      <c r="E46" s="10"/>
      <c r="F46" s="10"/>
      <c r="G46" s="10"/>
      <c r="H46" s="10"/>
    </row>
    <row r="47" spans="2:8" ht="46.5" customHeight="1" x14ac:dyDescent="0.25">
      <c r="B47" s="8" t="s">
        <v>29</v>
      </c>
      <c r="C47" s="8"/>
      <c r="D47" s="8"/>
      <c r="E47" s="8"/>
      <c r="F47" s="8"/>
      <c r="G47" s="8"/>
      <c r="H47" s="8"/>
    </row>
    <row r="48" spans="2:8" x14ac:dyDescent="0.25">
      <c r="B48" s="5"/>
      <c r="C48" s="5"/>
      <c r="D48" s="5"/>
      <c r="E48" s="5"/>
      <c r="F48" s="5"/>
      <c r="G48" s="5"/>
      <c r="H48" s="5"/>
    </row>
    <row r="49" spans="2:8" x14ac:dyDescent="0.25">
      <c r="B49" s="10" t="s">
        <v>30</v>
      </c>
      <c r="C49" s="10"/>
      <c r="D49" s="10"/>
      <c r="E49" s="10"/>
      <c r="F49" s="10"/>
      <c r="G49" s="10"/>
      <c r="H49" s="10"/>
    </row>
    <row r="50" spans="2:8" ht="83.25" customHeight="1" x14ac:dyDescent="0.25">
      <c r="B50" s="8" t="s">
        <v>31</v>
      </c>
      <c r="C50" s="8"/>
      <c r="D50" s="8"/>
      <c r="E50" s="8"/>
      <c r="F50" s="8"/>
      <c r="G50" s="8"/>
      <c r="H50" s="8"/>
    </row>
    <row r="51" spans="2:8" ht="39.75" customHeight="1" x14ac:dyDescent="0.25">
      <c r="B51" s="8" t="s">
        <v>32</v>
      </c>
      <c r="C51" s="8"/>
      <c r="D51" s="8"/>
      <c r="E51" s="8"/>
      <c r="F51" s="8"/>
      <c r="G51" s="8"/>
      <c r="H51" s="8"/>
    </row>
    <row r="53" spans="2:8" x14ac:dyDescent="0.25">
      <c r="B53" s="9" t="s">
        <v>33</v>
      </c>
      <c r="C53" s="9"/>
      <c r="D53" s="9"/>
      <c r="E53" s="9"/>
      <c r="F53" s="9"/>
      <c r="G53" s="9"/>
      <c r="H53" s="9"/>
    </row>
    <row r="55" spans="2:8" ht="49.5" customHeight="1" x14ac:dyDescent="0.25">
      <c r="B55" s="8" t="s">
        <v>34</v>
      </c>
      <c r="C55" s="8"/>
      <c r="D55" s="8"/>
      <c r="E55" s="8"/>
      <c r="F55" s="8"/>
      <c r="G55" s="8"/>
      <c r="H55" s="8"/>
    </row>
    <row r="57" spans="2:8" ht="48.75" customHeight="1" x14ac:dyDescent="0.25">
      <c r="B57" s="8" t="s">
        <v>35</v>
      </c>
      <c r="C57" s="8"/>
      <c r="D57" s="8"/>
      <c r="E57" s="8"/>
      <c r="F57" s="8"/>
      <c r="G57" s="8"/>
      <c r="H57" s="8"/>
    </row>
    <row r="59" spans="2:8" ht="45.75" customHeight="1" x14ac:dyDescent="0.25">
      <c r="B59" s="8" t="s">
        <v>36</v>
      </c>
      <c r="C59" s="8"/>
      <c r="D59" s="8"/>
      <c r="E59" s="8"/>
      <c r="F59" s="8"/>
      <c r="G59" s="8"/>
      <c r="H59" s="8"/>
    </row>
    <row r="61" spans="2:8" x14ac:dyDescent="0.25">
      <c r="B61" s="8" t="s">
        <v>37</v>
      </c>
      <c r="C61" s="8"/>
      <c r="D61" s="8"/>
      <c r="E61" s="8"/>
      <c r="F61" s="8"/>
      <c r="G61" s="8"/>
      <c r="H61" s="8"/>
    </row>
    <row r="63" spans="2:8" x14ac:dyDescent="0.25">
      <c r="B63" s="8" t="s">
        <v>38</v>
      </c>
      <c r="C63" s="8"/>
      <c r="D63" s="8"/>
      <c r="E63" s="8"/>
      <c r="F63" s="8"/>
      <c r="G63" s="8"/>
      <c r="H63" s="8"/>
    </row>
    <row r="65" spans="2:8" ht="46.5" customHeight="1" x14ac:dyDescent="0.25">
      <c r="B65" s="8" t="s">
        <v>39</v>
      </c>
      <c r="C65" s="8"/>
      <c r="D65" s="8"/>
      <c r="E65" s="8"/>
      <c r="F65" s="8"/>
      <c r="G65" s="8"/>
      <c r="H65" s="8"/>
    </row>
    <row r="67" spans="2:8" ht="31.5" customHeight="1" x14ac:dyDescent="0.25">
      <c r="B67" s="8" t="s">
        <v>40</v>
      </c>
      <c r="C67" s="8"/>
      <c r="D67" s="8"/>
      <c r="E67" s="8"/>
      <c r="F67" s="8"/>
      <c r="G67" s="8"/>
      <c r="H67" s="8"/>
    </row>
    <row r="69" spans="2:8" ht="60.75" customHeight="1" x14ac:dyDescent="0.25">
      <c r="B69" s="8" t="s">
        <v>41</v>
      </c>
      <c r="C69" s="8"/>
      <c r="D69" s="8"/>
      <c r="E69" s="8"/>
      <c r="F69" s="8"/>
      <c r="G69" s="8"/>
      <c r="H69" s="8"/>
    </row>
    <row r="70" spans="2:8" ht="54" customHeight="1" x14ac:dyDescent="0.25">
      <c r="B70" s="8" t="s">
        <v>42</v>
      </c>
      <c r="C70" s="8"/>
      <c r="D70" s="8"/>
      <c r="E70" s="8"/>
      <c r="F70" s="8"/>
      <c r="G70" s="8"/>
      <c r="H70" s="8"/>
    </row>
    <row r="72" spans="2:8" x14ac:dyDescent="0.25">
      <c r="B72" s="10" t="s">
        <v>43</v>
      </c>
      <c r="C72" s="10"/>
      <c r="D72" s="10"/>
      <c r="E72" s="10"/>
      <c r="F72" s="10"/>
      <c r="G72" s="10"/>
      <c r="H72" s="10"/>
    </row>
    <row r="74" spans="2:8" x14ac:dyDescent="0.25">
      <c r="B74" s="8" t="s">
        <v>44</v>
      </c>
      <c r="C74" s="8"/>
      <c r="D74" s="8"/>
      <c r="E74" s="8"/>
      <c r="F74" s="8"/>
      <c r="G74" s="8"/>
      <c r="H74" s="8"/>
    </row>
    <row r="75" spans="2:8" x14ac:dyDescent="0.25">
      <c r="B75" s="10" t="s">
        <v>45</v>
      </c>
      <c r="C75" s="10"/>
      <c r="D75" s="10"/>
      <c r="E75" s="10"/>
      <c r="F75" s="10"/>
      <c r="G75" s="10"/>
      <c r="H75" s="10"/>
    </row>
    <row r="77" spans="2:8" ht="31.5" customHeight="1" x14ac:dyDescent="0.25">
      <c r="B77" s="8" t="s">
        <v>46</v>
      </c>
      <c r="C77" s="8"/>
      <c r="D77" s="8"/>
      <c r="E77" s="8"/>
      <c r="F77" s="8"/>
      <c r="G77" s="8"/>
      <c r="H77" s="8"/>
    </row>
    <row r="79" spans="2:8" ht="36" customHeight="1" x14ac:dyDescent="0.25">
      <c r="B79" s="8" t="s">
        <v>47</v>
      </c>
      <c r="C79" s="8"/>
      <c r="D79" s="8"/>
      <c r="E79" s="8"/>
      <c r="F79" s="8"/>
      <c r="G79" s="8"/>
      <c r="H79" s="8"/>
    </row>
    <row r="80" spans="2:8" ht="17.25" customHeight="1" x14ac:dyDescent="0.25">
      <c r="B80" s="5"/>
      <c r="C80" s="5"/>
      <c r="D80" s="5"/>
      <c r="E80" s="5"/>
      <c r="F80" s="5"/>
      <c r="G80" s="5"/>
      <c r="H80" s="5"/>
    </row>
    <row r="81" spans="2:8" x14ac:dyDescent="0.25">
      <c r="B81" s="9" t="s">
        <v>48</v>
      </c>
      <c r="C81" s="9"/>
      <c r="D81" s="9"/>
      <c r="E81" s="9"/>
      <c r="F81" s="9"/>
      <c r="G81" s="9"/>
      <c r="H81" s="9"/>
    </row>
    <row r="83" spans="2:8" ht="32.25" customHeight="1" x14ac:dyDescent="0.25">
      <c r="B83" s="8" t="s">
        <v>49</v>
      </c>
      <c r="C83" s="8"/>
      <c r="D83" s="8"/>
      <c r="E83" s="8"/>
      <c r="F83" s="8"/>
      <c r="G83" s="8"/>
      <c r="H83" s="8"/>
    </row>
    <row r="85" spans="2:8" ht="17.25" customHeight="1" x14ac:dyDescent="0.25">
      <c r="B85" s="8" t="s">
        <v>50</v>
      </c>
      <c r="C85" s="8"/>
      <c r="D85" s="8"/>
      <c r="E85" s="8"/>
      <c r="F85" s="8"/>
      <c r="G85" s="8"/>
      <c r="H85" s="8"/>
    </row>
    <row r="87" spans="2:8" x14ac:dyDescent="0.25">
      <c r="B87" s="9" t="s">
        <v>51</v>
      </c>
      <c r="C87" s="9"/>
      <c r="D87" s="9"/>
      <c r="E87" s="9"/>
      <c r="F87" s="9"/>
      <c r="G87" s="9"/>
      <c r="H87" s="9"/>
    </row>
    <row r="88" spans="2:8" x14ac:dyDescent="0.25">
      <c r="B88" s="9" t="s">
        <v>52</v>
      </c>
      <c r="C88" s="9"/>
      <c r="D88" s="9"/>
      <c r="E88" s="9"/>
      <c r="F88" s="9"/>
      <c r="G88" s="9"/>
      <c r="H88" s="9"/>
    </row>
    <row r="90" spans="2:8" ht="29.25" customHeight="1" x14ac:dyDescent="0.25">
      <c r="B90" s="8" t="s">
        <v>53</v>
      </c>
      <c r="C90" s="8"/>
      <c r="D90" s="8"/>
      <c r="E90" s="8"/>
      <c r="F90" s="8"/>
      <c r="G90" s="8"/>
      <c r="H90" s="8"/>
    </row>
    <row r="92" spans="2:8" ht="30.75" customHeight="1" x14ac:dyDescent="0.25">
      <c r="B92" s="8" t="s">
        <v>54</v>
      </c>
      <c r="C92" s="8"/>
      <c r="D92" s="8"/>
      <c r="E92" s="8"/>
      <c r="F92" s="8"/>
      <c r="G92" s="8"/>
      <c r="H92" s="8"/>
    </row>
    <row r="94" spans="2:8" ht="45" customHeight="1" x14ac:dyDescent="0.25">
      <c r="B94" s="8" t="s">
        <v>55</v>
      </c>
      <c r="C94" s="8"/>
      <c r="D94" s="8"/>
      <c r="E94" s="8"/>
      <c r="F94" s="8"/>
      <c r="G94" s="8"/>
      <c r="H94" s="8"/>
    </row>
    <row r="96" spans="2:8" x14ac:dyDescent="0.25">
      <c r="B96" s="9" t="s">
        <v>56</v>
      </c>
      <c r="C96" s="9"/>
      <c r="D96" s="9"/>
      <c r="E96" s="9"/>
      <c r="F96" s="9"/>
      <c r="G96" s="9"/>
      <c r="H96" s="9"/>
    </row>
    <row r="98" spans="2:8" ht="60.75" customHeight="1" x14ac:dyDescent="0.25">
      <c r="B98" s="8" t="s">
        <v>57</v>
      </c>
      <c r="C98" s="8"/>
      <c r="D98" s="8"/>
      <c r="E98" s="8"/>
      <c r="F98" s="8"/>
      <c r="G98" s="8"/>
      <c r="H98" s="8"/>
    </row>
    <row r="100" spans="2:8" x14ac:dyDescent="0.25">
      <c r="B100" s="9" t="s">
        <v>58</v>
      </c>
      <c r="C100" s="9"/>
      <c r="D100" s="9"/>
      <c r="E100" s="9"/>
      <c r="F100" s="9"/>
      <c r="G100" s="9"/>
      <c r="H100" s="9"/>
    </row>
    <row r="102" spans="2:8" ht="30" customHeight="1" x14ac:dyDescent="0.25">
      <c r="B102" s="8" t="s">
        <v>59</v>
      </c>
      <c r="C102" s="8"/>
      <c r="D102" s="8"/>
      <c r="E102" s="8"/>
      <c r="F102" s="8"/>
      <c r="G102" s="8"/>
      <c r="H102" s="8"/>
    </row>
    <row r="104" spans="2:8" ht="63.75" customHeight="1" x14ac:dyDescent="0.25">
      <c r="B104" s="8" t="s">
        <v>60</v>
      </c>
      <c r="C104" s="8"/>
      <c r="D104" s="8"/>
      <c r="E104" s="8"/>
      <c r="F104" s="8"/>
      <c r="G104" s="8"/>
      <c r="H104" s="8"/>
    </row>
    <row r="106" spans="2:8" ht="50.25" customHeight="1" x14ac:dyDescent="0.25">
      <c r="B106" s="8" t="s">
        <v>61</v>
      </c>
      <c r="C106" s="8"/>
      <c r="D106" s="8"/>
      <c r="E106" s="8"/>
      <c r="F106" s="8"/>
      <c r="G106" s="8"/>
      <c r="H106" s="8"/>
    </row>
    <row r="108" spans="2:8" x14ac:dyDescent="0.25">
      <c r="B108" s="8" t="s">
        <v>62</v>
      </c>
      <c r="C108" s="8"/>
      <c r="D108" s="8"/>
      <c r="E108" s="8"/>
      <c r="F108" s="8"/>
      <c r="G108" s="8"/>
      <c r="H108" s="8"/>
    </row>
    <row r="109" spans="2:8" x14ac:dyDescent="0.25">
      <c r="B109" s="7"/>
    </row>
    <row r="110" spans="2:8" x14ac:dyDescent="0.25">
      <c r="B110" s="8" t="s">
        <v>63</v>
      </c>
      <c r="C110" s="8"/>
      <c r="D110" s="8"/>
      <c r="E110" s="8"/>
      <c r="F110" s="8"/>
      <c r="G110" s="8"/>
      <c r="H110" s="8"/>
    </row>
    <row r="111" spans="2:8" x14ac:dyDescent="0.25">
      <c r="B111" s="8" t="s">
        <v>64</v>
      </c>
      <c r="C111" s="8"/>
      <c r="D111" s="8"/>
      <c r="E111" s="8"/>
      <c r="F111" s="8"/>
      <c r="G111" s="8"/>
      <c r="H111" s="8"/>
    </row>
    <row r="113" spans="2:8" ht="33.75" customHeight="1" x14ac:dyDescent="0.25">
      <c r="B113" s="8" t="s">
        <v>65</v>
      </c>
      <c r="C113" s="8"/>
      <c r="D113" s="8"/>
      <c r="E113" s="8"/>
      <c r="F113" s="8"/>
      <c r="G113" s="8"/>
      <c r="H113" s="8"/>
    </row>
    <row r="115" spans="2:8" x14ac:dyDescent="0.25">
      <c r="B115" s="9" t="s">
        <v>66</v>
      </c>
      <c r="C115" s="9"/>
      <c r="D115" s="9"/>
      <c r="E115" s="9"/>
      <c r="F115" s="9"/>
      <c r="G115" s="9"/>
      <c r="H115" s="9"/>
    </row>
    <row r="116" spans="2:8" ht="48" customHeight="1" x14ac:dyDescent="0.25">
      <c r="B116" s="8" t="s">
        <v>67</v>
      </c>
      <c r="C116" s="8"/>
      <c r="D116" s="8"/>
      <c r="E116" s="8"/>
      <c r="F116" s="8"/>
      <c r="G116" s="8"/>
      <c r="H116" s="8"/>
    </row>
    <row r="118" spans="2:8" x14ac:dyDescent="0.25">
      <c r="B118" s="9" t="s">
        <v>68</v>
      </c>
      <c r="C118" s="9"/>
      <c r="D118" s="9"/>
      <c r="E118" s="9"/>
      <c r="F118" s="9"/>
      <c r="G118" s="9"/>
      <c r="H118" s="9"/>
    </row>
    <row r="120" spans="2:8" ht="35.25" customHeight="1" x14ac:dyDescent="0.25">
      <c r="B120" s="8" t="s">
        <v>69</v>
      </c>
      <c r="C120" s="8"/>
      <c r="D120" s="8"/>
      <c r="E120" s="8"/>
      <c r="F120" s="8"/>
      <c r="G120" s="8"/>
      <c r="H120" s="8"/>
    </row>
    <row r="122" spans="2:8" x14ac:dyDescent="0.25">
      <c r="B122" s="9" t="s">
        <v>70</v>
      </c>
      <c r="C122" s="9"/>
      <c r="D122" s="9"/>
      <c r="E122" s="9"/>
      <c r="F122" s="9"/>
      <c r="G122" s="9"/>
      <c r="H122" s="9"/>
    </row>
    <row r="124" spans="2:8" ht="34.5" customHeight="1" x14ac:dyDescent="0.25">
      <c r="B124" s="8" t="s">
        <v>71</v>
      </c>
      <c r="C124" s="8"/>
      <c r="D124" s="8"/>
      <c r="E124" s="8"/>
      <c r="F124" s="8"/>
      <c r="G124" s="8"/>
      <c r="H124" s="8"/>
    </row>
    <row r="126" spans="2:8" ht="24" customHeight="1" x14ac:dyDescent="0.25">
      <c r="B126" s="8" t="s">
        <v>72</v>
      </c>
      <c r="C126" s="8"/>
      <c r="D126" s="8"/>
      <c r="E126" s="8"/>
      <c r="F126" s="8"/>
      <c r="G126" s="8"/>
      <c r="H126" s="8"/>
    </row>
    <row r="127" spans="2:8" ht="30.75" customHeight="1" x14ac:dyDescent="0.25">
      <c r="B127" s="8" t="s">
        <v>73</v>
      </c>
      <c r="C127" s="8"/>
      <c r="D127" s="8"/>
      <c r="E127" s="8"/>
      <c r="F127" s="8"/>
      <c r="G127" s="8"/>
      <c r="H127" s="8"/>
    </row>
    <row r="128" spans="2:8" ht="44.45" customHeight="1" x14ac:dyDescent="0.25">
      <c r="B128" s="8" t="s">
        <v>74</v>
      </c>
      <c r="C128" s="8"/>
      <c r="D128" s="8"/>
      <c r="E128" s="8"/>
      <c r="F128" s="8"/>
      <c r="G128" s="8"/>
      <c r="H128" s="8"/>
    </row>
    <row r="129" spans="2:8" ht="55.15" customHeight="1" x14ac:dyDescent="0.25">
      <c r="B129" s="8" t="s">
        <v>75</v>
      </c>
      <c r="C129" s="8"/>
      <c r="D129" s="8"/>
      <c r="E129" s="8"/>
      <c r="F129" s="8"/>
      <c r="G129" s="8"/>
      <c r="H129" s="8"/>
    </row>
    <row r="133" spans="2:8" ht="31.5" customHeight="1" x14ac:dyDescent="0.25"/>
  </sheetData>
  <mergeCells count="73">
    <mergeCell ref="B11:H11"/>
    <mergeCell ref="C3:G3"/>
    <mergeCell ref="C4:G4"/>
    <mergeCell ref="B6:G6"/>
    <mergeCell ref="B7:H7"/>
    <mergeCell ref="B9:H9"/>
    <mergeCell ref="B35:H35"/>
    <mergeCell ref="B13:H13"/>
    <mergeCell ref="B14:H14"/>
    <mergeCell ref="B16:H16"/>
    <mergeCell ref="B20:H20"/>
    <mergeCell ref="B22:H22"/>
    <mergeCell ref="B24:H24"/>
    <mergeCell ref="B28:H28"/>
    <mergeCell ref="B29:H29"/>
    <mergeCell ref="B31:H31"/>
    <mergeCell ref="B32:H32"/>
    <mergeCell ref="B34:H34"/>
    <mergeCell ref="B51:H51"/>
    <mergeCell ref="B36:H36"/>
    <mergeCell ref="B37:H37"/>
    <mergeCell ref="B39:H39"/>
    <mergeCell ref="B41:H41"/>
    <mergeCell ref="B42:H42"/>
    <mergeCell ref="B43:H43"/>
    <mergeCell ref="B44:H44"/>
    <mergeCell ref="B46:H46"/>
    <mergeCell ref="B47:H47"/>
    <mergeCell ref="B49:H49"/>
    <mergeCell ref="B50:H50"/>
    <mergeCell ref="B74:H74"/>
    <mergeCell ref="B53:H53"/>
    <mergeCell ref="B55:H55"/>
    <mergeCell ref="B57:H57"/>
    <mergeCell ref="B59:H59"/>
    <mergeCell ref="B61:H61"/>
    <mergeCell ref="B63:H63"/>
    <mergeCell ref="B65:H65"/>
    <mergeCell ref="B67:H67"/>
    <mergeCell ref="B69:H69"/>
    <mergeCell ref="B70:H70"/>
    <mergeCell ref="B72:H72"/>
    <mergeCell ref="B96:H96"/>
    <mergeCell ref="B75:H75"/>
    <mergeCell ref="B77:H77"/>
    <mergeCell ref="B79:H79"/>
    <mergeCell ref="B81:H81"/>
    <mergeCell ref="B83:H83"/>
    <mergeCell ref="B85:H85"/>
    <mergeCell ref="B87:H87"/>
    <mergeCell ref="B88:H88"/>
    <mergeCell ref="B90:H90"/>
    <mergeCell ref="B92:H92"/>
    <mergeCell ref="B94:H94"/>
    <mergeCell ref="B118:H118"/>
    <mergeCell ref="B98:H98"/>
    <mergeCell ref="B100:H100"/>
    <mergeCell ref="B102:H102"/>
    <mergeCell ref="B104:H104"/>
    <mergeCell ref="B106:H106"/>
    <mergeCell ref="B108:H108"/>
    <mergeCell ref="B110:H110"/>
    <mergeCell ref="B111:H111"/>
    <mergeCell ref="B113:H113"/>
    <mergeCell ref="B115:H115"/>
    <mergeCell ref="B116:H116"/>
    <mergeCell ref="B129:H129"/>
    <mergeCell ref="B120:H120"/>
    <mergeCell ref="B122:H122"/>
    <mergeCell ref="B124:H124"/>
    <mergeCell ref="B126:H126"/>
    <mergeCell ref="B127:H127"/>
    <mergeCell ref="B128:H12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91E8A-29FE-438F-B57E-A2928224395D}">
  <dimension ref="A3:P305"/>
  <sheetViews>
    <sheetView showGridLines="0" workbookViewId="0">
      <selection sqref="A1:XFD1048576"/>
    </sheetView>
  </sheetViews>
  <sheetFormatPr baseColWidth="10" defaultColWidth="11.42578125" defaultRowHeight="12.75" x14ac:dyDescent="0.2"/>
  <cols>
    <col min="1" max="1" width="3.42578125" style="17" customWidth="1"/>
    <col min="2" max="3" width="13.140625" style="17" customWidth="1"/>
    <col min="4" max="4" width="13" style="17" customWidth="1"/>
    <col min="5" max="5" width="16.140625" style="17" customWidth="1"/>
    <col min="6" max="6" width="3.140625" style="17" customWidth="1"/>
    <col min="7" max="7" width="16.140625" style="17" customWidth="1"/>
    <col min="8" max="8" width="1.85546875" style="17" customWidth="1"/>
    <col min="9" max="9" width="15.28515625" style="19" customWidth="1"/>
    <col min="10" max="10" width="2.28515625" style="17" customWidth="1"/>
    <col min="11" max="11" width="14.42578125" style="17" customWidth="1"/>
    <col min="12" max="12" width="15.28515625" style="17" customWidth="1"/>
    <col min="13" max="16384" width="11.42578125" style="17"/>
  </cols>
  <sheetData>
    <row r="3" spans="1:10" x14ac:dyDescent="0.2">
      <c r="A3" s="14"/>
      <c r="B3" s="15" t="s">
        <v>76</v>
      </c>
      <c r="C3" s="15"/>
      <c r="D3" s="15"/>
      <c r="E3" s="15"/>
      <c r="F3" s="15"/>
      <c r="G3" s="15"/>
      <c r="H3" s="15"/>
      <c r="I3" s="15"/>
      <c r="J3" s="16"/>
    </row>
    <row r="4" spans="1:10" ht="14.25" customHeight="1" x14ac:dyDescent="0.2">
      <c r="B4" s="18" t="s">
        <v>77</v>
      </c>
      <c r="C4" s="18"/>
      <c r="D4" s="18"/>
      <c r="E4" s="18"/>
      <c r="F4" s="18"/>
      <c r="G4" s="18"/>
    </row>
    <row r="5" spans="1:10" x14ac:dyDescent="0.2">
      <c r="B5" s="20"/>
      <c r="C5" s="20"/>
      <c r="D5" s="20"/>
      <c r="E5" s="20"/>
      <c r="F5" s="20"/>
      <c r="G5" s="20"/>
    </row>
    <row r="6" spans="1:10" x14ac:dyDescent="0.2">
      <c r="B6" s="21" t="s">
        <v>78</v>
      </c>
      <c r="C6" s="21"/>
      <c r="D6" s="21"/>
      <c r="E6" s="22">
        <v>2023</v>
      </c>
      <c r="F6" s="22"/>
      <c r="G6" s="22">
        <v>2022</v>
      </c>
      <c r="H6" s="22"/>
      <c r="I6" s="23"/>
      <c r="J6" s="20"/>
    </row>
    <row r="7" spans="1:10" x14ac:dyDescent="0.2">
      <c r="B7" s="24" t="s">
        <v>79</v>
      </c>
      <c r="C7" s="24"/>
      <c r="D7" s="24"/>
      <c r="E7" s="25">
        <v>151667523.80000001</v>
      </c>
      <c r="F7" s="25"/>
      <c r="G7" s="25">
        <v>345988985.97000003</v>
      </c>
      <c r="H7" s="26"/>
      <c r="I7" s="23"/>
      <c r="J7" s="20"/>
    </row>
    <row r="8" spans="1:10" x14ac:dyDescent="0.2">
      <c r="B8" s="24" t="s">
        <v>80</v>
      </c>
      <c r="C8" s="24"/>
      <c r="D8" s="24"/>
      <c r="E8" s="25">
        <v>1932.57</v>
      </c>
      <c r="F8" s="27"/>
      <c r="G8" s="25">
        <v>1932.57</v>
      </c>
      <c r="H8" s="28"/>
    </row>
    <row r="9" spans="1:10" ht="13.5" thickBot="1" x14ac:dyDescent="0.25">
      <c r="B9" s="24"/>
      <c r="C9" s="24"/>
      <c r="D9" s="24"/>
      <c r="E9" s="29">
        <v>151669456.37</v>
      </c>
      <c r="F9" s="27"/>
      <c r="G9" s="29">
        <v>345990918.54000002</v>
      </c>
      <c r="H9" s="28"/>
    </row>
    <row r="10" spans="1:10" ht="13.5" thickTop="1" x14ac:dyDescent="0.2">
      <c r="B10" s="24"/>
      <c r="C10" s="24"/>
      <c r="D10" s="24"/>
      <c r="E10" s="27"/>
      <c r="F10" s="27"/>
      <c r="G10" s="27"/>
      <c r="H10" s="28"/>
    </row>
    <row r="11" spans="1:10" x14ac:dyDescent="0.2">
      <c r="B11" s="24"/>
      <c r="C11" s="24"/>
      <c r="D11" s="24"/>
      <c r="E11" s="27"/>
      <c r="F11" s="27"/>
      <c r="G11" s="27"/>
      <c r="H11" s="28"/>
    </row>
    <row r="12" spans="1:10" x14ac:dyDescent="0.2">
      <c r="B12" s="30"/>
      <c r="C12" s="30"/>
      <c r="D12" s="30"/>
      <c r="E12" s="31"/>
      <c r="F12" s="31"/>
      <c r="G12" s="31"/>
      <c r="H12" s="28"/>
    </row>
    <row r="13" spans="1:10" s="20" customFormat="1" x14ac:dyDescent="0.2">
      <c r="B13" s="24"/>
      <c r="C13" s="24"/>
      <c r="D13" s="24"/>
      <c r="E13" s="32"/>
      <c r="F13" s="32"/>
      <c r="G13" s="33"/>
      <c r="H13" s="32"/>
      <c r="I13" s="23"/>
    </row>
    <row r="14" spans="1:10" x14ac:dyDescent="0.2">
      <c r="B14" s="15" t="s">
        <v>81</v>
      </c>
      <c r="C14" s="15"/>
      <c r="D14" s="15"/>
      <c r="E14" s="15"/>
      <c r="F14" s="15"/>
      <c r="G14" s="15"/>
      <c r="H14" s="15"/>
      <c r="I14" s="15"/>
      <c r="J14" s="20"/>
    </row>
    <row r="15" spans="1:10" x14ac:dyDescent="0.2">
      <c r="B15" s="17" t="s">
        <v>82</v>
      </c>
      <c r="H15" s="28"/>
    </row>
    <row r="16" spans="1:10" x14ac:dyDescent="0.2">
      <c r="B16" s="20"/>
      <c r="C16" s="20"/>
      <c r="D16" s="20"/>
      <c r="E16" s="20"/>
      <c r="F16" s="20"/>
      <c r="G16" s="20"/>
      <c r="H16" s="28"/>
    </row>
    <row r="17" spans="1:16" x14ac:dyDescent="0.2">
      <c r="B17" s="21" t="s">
        <v>78</v>
      </c>
      <c r="C17" s="21"/>
      <c r="D17" s="21"/>
      <c r="E17" s="22">
        <v>2023</v>
      </c>
      <c r="F17" s="22"/>
      <c r="G17" s="22">
        <v>2022</v>
      </c>
      <c r="H17" s="28"/>
      <c r="I17" s="23"/>
      <c r="J17" s="20"/>
    </row>
    <row r="18" spans="1:16" ht="12.75" customHeight="1" x14ac:dyDescent="0.2">
      <c r="B18" s="34" t="s">
        <v>83</v>
      </c>
      <c r="C18" s="34"/>
      <c r="D18" s="34"/>
      <c r="E18" s="35">
        <v>947849.62</v>
      </c>
      <c r="F18" s="20"/>
      <c r="G18" s="23">
        <v>1150539.23</v>
      </c>
      <c r="H18" s="28"/>
    </row>
    <row r="19" spans="1:16" ht="12.75" customHeight="1" x14ac:dyDescent="0.2">
      <c r="B19" s="18" t="s">
        <v>84</v>
      </c>
      <c r="C19" s="18"/>
      <c r="D19" s="18"/>
      <c r="E19" s="35">
        <v>474889.27</v>
      </c>
      <c r="F19" s="20"/>
      <c r="G19" s="35"/>
      <c r="H19" s="28"/>
    </row>
    <row r="20" spans="1:16" ht="12.75" customHeight="1" x14ac:dyDescent="0.2">
      <c r="B20" s="36" t="s">
        <v>85</v>
      </c>
      <c r="C20" s="36"/>
      <c r="D20" s="36"/>
      <c r="E20" s="35">
        <v>660955.84</v>
      </c>
      <c r="F20" s="20"/>
      <c r="G20" s="35">
        <v>202689.61</v>
      </c>
      <c r="H20" s="28"/>
    </row>
    <row r="21" spans="1:16" ht="12.75" customHeight="1" thickBot="1" x14ac:dyDescent="0.25">
      <c r="B21" s="18" t="s">
        <v>86</v>
      </c>
      <c r="C21" s="18"/>
      <c r="D21" s="18"/>
      <c r="E21" s="37">
        <v>761783.05</v>
      </c>
      <c r="F21" s="32"/>
      <c r="G21" s="37">
        <v>947849.62</v>
      </c>
      <c r="H21" s="28"/>
    </row>
    <row r="22" spans="1:16" ht="12.75" customHeight="1" thickTop="1" x14ac:dyDescent="0.2">
      <c r="B22" s="38"/>
      <c r="C22" s="38"/>
      <c r="D22" s="38"/>
      <c r="E22" s="32"/>
      <c r="F22" s="32"/>
      <c r="G22" s="32"/>
      <c r="H22" s="28"/>
    </row>
    <row r="23" spans="1:16" ht="12.75" customHeight="1" x14ac:dyDescent="0.2">
      <c r="B23" s="38"/>
      <c r="C23" s="38"/>
      <c r="D23" s="38"/>
      <c r="E23" s="32"/>
      <c r="F23" s="32"/>
      <c r="G23" s="32"/>
      <c r="H23" s="28"/>
    </row>
    <row r="24" spans="1:16" x14ac:dyDescent="0.2">
      <c r="B24" s="39"/>
      <c r="C24" s="39"/>
      <c r="D24" s="39"/>
      <c r="E24" s="28"/>
      <c r="F24" s="28"/>
      <c r="G24" s="28"/>
      <c r="H24" s="28"/>
      <c r="O24" s="19"/>
      <c r="P24" s="19"/>
    </row>
    <row r="25" spans="1:16" x14ac:dyDescent="0.2">
      <c r="B25" s="17" t="s">
        <v>87</v>
      </c>
      <c r="E25" s="40"/>
      <c r="O25" s="19"/>
      <c r="P25" s="19"/>
    </row>
    <row r="26" spans="1:16" x14ac:dyDescent="0.2">
      <c r="A26" s="14"/>
      <c r="B26" s="15" t="s">
        <v>88</v>
      </c>
      <c r="C26" s="15"/>
      <c r="D26" s="15"/>
      <c r="E26" s="15"/>
      <c r="F26" s="15"/>
      <c r="G26" s="15"/>
      <c r="H26" s="15"/>
      <c r="I26" s="15"/>
      <c r="J26" s="16"/>
      <c r="O26" s="19"/>
      <c r="P26" s="19"/>
    </row>
    <row r="27" spans="1:16" x14ac:dyDescent="0.2">
      <c r="B27" s="17" t="s">
        <v>89</v>
      </c>
      <c r="O27" s="19"/>
      <c r="P27" s="19"/>
    </row>
    <row r="28" spans="1:16" x14ac:dyDescent="0.2">
      <c r="O28" s="19"/>
      <c r="P28" s="19"/>
    </row>
    <row r="29" spans="1:16" x14ac:dyDescent="0.2">
      <c r="B29" s="21" t="s">
        <v>78</v>
      </c>
      <c r="C29" s="21"/>
      <c r="D29" s="21"/>
      <c r="E29" s="22">
        <v>2023</v>
      </c>
      <c r="F29" s="22"/>
      <c r="G29" s="22">
        <v>2022</v>
      </c>
      <c r="O29" s="19"/>
      <c r="P29" s="19"/>
    </row>
    <row r="30" spans="1:16" x14ac:dyDescent="0.2">
      <c r="B30" s="30" t="s">
        <v>90</v>
      </c>
      <c r="C30" s="30"/>
      <c r="D30" s="30"/>
      <c r="E30" s="26">
        <v>180000</v>
      </c>
      <c r="F30" s="26"/>
      <c r="G30" s="26">
        <v>180000</v>
      </c>
    </row>
    <row r="31" spans="1:16" x14ac:dyDescent="0.2">
      <c r="B31" s="30" t="s">
        <v>91</v>
      </c>
      <c r="C31" s="30"/>
      <c r="D31" s="30"/>
      <c r="E31" s="26">
        <v>172994.81</v>
      </c>
      <c r="F31" s="26"/>
      <c r="G31" s="26">
        <v>119461.37</v>
      </c>
    </row>
    <row r="32" spans="1:16" x14ac:dyDescent="0.2">
      <c r="B32" s="30" t="s">
        <v>92</v>
      </c>
      <c r="C32" s="30"/>
      <c r="D32" s="30"/>
      <c r="E32" s="41">
        <v>1032241.64</v>
      </c>
      <c r="F32" s="26"/>
      <c r="G32" s="41">
        <v>1290170.8</v>
      </c>
    </row>
    <row r="33" spans="2:11" ht="13.5" thickBot="1" x14ac:dyDescent="0.25">
      <c r="B33" s="42" t="s">
        <v>93</v>
      </c>
      <c r="C33" s="42"/>
      <c r="D33" s="42"/>
      <c r="E33" s="43">
        <v>1385236.45</v>
      </c>
      <c r="F33" s="31"/>
      <c r="G33" s="29">
        <v>1589632.17</v>
      </c>
    </row>
    <row r="34" spans="2:11" ht="13.5" thickTop="1" x14ac:dyDescent="0.2">
      <c r="B34" s="42"/>
      <c r="C34" s="42"/>
      <c r="D34" s="42"/>
      <c r="E34" s="31"/>
      <c r="F34" s="31"/>
      <c r="G34" s="27"/>
    </row>
    <row r="35" spans="2:11" x14ac:dyDescent="0.2">
      <c r="B35" s="42"/>
      <c r="C35" s="42"/>
      <c r="D35" s="42"/>
      <c r="E35" s="31"/>
      <c r="F35" s="31"/>
      <c r="G35" s="31"/>
      <c r="I35" s="44"/>
    </row>
    <row r="38" spans="2:11" ht="25.5" x14ac:dyDescent="0.2">
      <c r="B38" s="45">
        <v>2023</v>
      </c>
      <c r="C38" s="46"/>
      <c r="D38" s="47" t="s">
        <v>94</v>
      </c>
      <c r="E38" s="47" t="s">
        <v>95</v>
      </c>
      <c r="F38" s="47"/>
      <c r="G38" s="48" t="s">
        <v>96</v>
      </c>
      <c r="H38" s="47"/>
      <c r="I38" s="49" t="s">
        <v>93</v>
      </c>
      <c r="J38" s="50"/>
    </row>
    <row r="39" spans="2:11" x14ac:dyDescent="0.2">
      <c r="B39" s="51" t="s">
        <v>97</v>
      </c>
      <c r="C39" s="51"/>
      <c r="D39" s="52"/>
      <c r="E39" s="53"/>
      <c r="F39" s="52"/>
      <c r="G39" s="53"/>
      <c r="H39" s="53"/>
      <c r="I39" s="53"/>
      <c r="J39" s="53"/>
      <c r="K39" s="30"/>
    </row>
    <row r="40" spans="2:11" x14ac:dyDescent="0.2">
      <c r="B40" s="54" t="s">
        <v>98</v>
      </c>
      <c r="C40" s="54"/>
      <c r="D40" s="55">
        <v>180000</v>
      </c>
      <c r="E40" s="53">
        <v>1227884.1000000001</v>
      </c>
      <c r="F40" s="55"/>
      <c r="G40" s="55">
        <v>3496767.45</v>
      </c>
      <c r="H40" s="53"/>
      <c r="I40" s="53">
        <v>4904651.55</v>
      </c>
      <c r="J40" s="53"/>
      <c r="K40" s="30"/>
    </row>
    <row r="41" spans="2:11" x14ac:dyDescent="0.2">
      <c r="B41" s="54" t="s">
        <v>99</v>
      </c>
      <c r="C41" s="54"/>
      <c r="D41" s="56" t="s">
        <v>100</v>
      </c>
      <c r="E41" s="53">
        <v>386577.91</v>
      </c>
      <c r="F41" s="57"/>
      <c r="G41" s="55">
        <v>324965.53000000003</v>
      </c>
      <c r="H41" s="53"/>
      <c r="I41" s="53">
        <v>711543.44</v>
      </c>
      <c r="J41" s="53"/>
      <c r="K41" s="30"/>
    </row>
    <row r="42" spans="2:11" s="30" customFormat="1" x14ac:dyDescent="0.2">
      <c r="B42" s="54" t="s">
        <v>101</v>
      </c>
      <c r="C42" s="54"/>
      <c r="D42" s="58">
        <v>180000</v>
      </c>
      <c r="E42" s="59">
        <v>1614462.01</v>
      </c>
      <c r="F42" s="58"/>
      <c r="G42" s="59">
        <v>3821732.98</v>
      </c>
      <c r="H42" s="59"/>
      <c r="I42" s="59">
        <v>5616194.9900000002</v>
      </c>
      <c r="J42" s="59"/>
    </row>
    <row r="43" spans="2:11" s="30" customFormat="1" x14ac:dyDescent="0.2">
      <c r="B43" s="51"/>
      <c r="C43" s="51"/>
      <c r="D43" s="58"/>
      <c r="E43" s="59"/>
      <c r="F43" s="58"/>
      <c r="G43" s="58"/>
      <c r="H43" s="59"/>
      <c r="I43" s="59"/>
      <c r="J43" s="59"/>
    </row>
    <row r="44" spans="2:11" s="24" customFormat="1" ht="12.75" customHeight="1" x14ac:dyDescent="0.2">
      <c r="B44" s="60" t="s">
        <v>102</v>
      </c>
      <c r="C44" s="60"/>
      <c r="D44" s="61">
        <v>0</v>
      </c>
      <c r="E44" s="62">
        <v>1108422.73</v>
      </c>
      <c r="F44" s="61"/>
      <c r="G44" s="61">
        <v>2206596.65</v>
      </c>
      <c r="H44" s="62"/>
      <c r="I44" s="62">
        <v>3315019.38</v>
      </c>
      <c r="J44" s="63"/>
    </row>
    <row r="45" spans="2:11" s="30" customFormat="1" x14ac:dyDescent="0.2">
      <c r="B45" s="53" t="s">
        <v>103</v>
      </c>
      <c r="C45" s="53"/>
      <c r="D45" s="55">
        <v>0</v>
      </c>
      <c r="E45" s="53">
        <v>333044.46999999997</v>
      </c>
      <c r="F45" s="55"/>
      <c r="G45" s="61">
        <v>582894.68999999994</v>
      </c>
      <c r="H45" s="53"/>
      <c r="I45" s="53">
        <v>915939.16</v>
      </c>
      <c r="J45" s="64"/>
    </row>
    <row r="46" spans="2:11" s="30" customFormat="1" x14ac:dyDescent="0.2">
      <c r="B46" s="53" t="s">
        <v>104</v>
      </c>
      <c r="C46" s="53"/>
      <c r="D46" s="58">
        <v>0</v>
      </c>
      <c r="E46" s="59">
        <v>1441467.2</v>
      </c>
      <c r="F46" s="58"/>
      <c r="G46" s="58">
        <v>2789491.34</v>
      </c>
      <c r="H46" s="59"/>
      <c r="I46" s="59">
        <v>4230958.54</v>
      </c>
      <c r="J46" s="59"/>
    </row>
    <row r="47" spans="2:11" s="30" customFormat="1" x14ac:dyDescent="0.2">
      <c r="B47" s="53" t="s">
        <v>105</v>
      </c>
      <c r="C47" s="53"/>
      <c r="D47" s="65">
        <v>180000</v>
      </c>
      <c r="E47" s="66">
        <v>172994.81</v>
      </c>
      <c r="F47" s="59"/>
      <c r="G47" s="65">
        <v>1032241.64</v>
      </c>
      <c r="H47" s="59"/>
      <c r="I47" s="66">
        <v>1385236.45</v>
      </c>
      <c r="J47" s="59"/>
    </row>
    <row r="48" spans="2:11" s="30" customFormat="1" x14ac:dyDescent="0.2">
      <c r="B48" s="53"/>
      <c r="C48" s="53"/>
      <c r="D48" s="58"/>
      <c r="E48" s="59"/>
      <c r="F48" s="59"/>
      <c r="G48" s="59"/>
      <c r="H48" s="59"/>
      <c r="I48" s="59"/>
      <c r="J48" s="59"/>
    </row>
    <row r="49" spans="2:11" s="30" customFormat="1" x14ac:dyDescent="0.2">
      <c r="B49" s="53"/>
      <c r="C49" s="53"/>
      <c r="D49" s="58"/>
      <c r="E49" s="59"/>
      <c r="F49" s="59"/>
      <c r="G49" s="59"/>
      <c r="H49" s="59"/>
      <c r="I49" s="59"/>
      <c r="J49" s="59"/>
    </row>
    <row r="50" spans="2:11" s="24" customFormat="1" ht="24" customHeight="1" x14ac:dyDescent="0.2">
      <c r="B50" s="67">
        <v>2022</v>
      </c>
      <c r="C50" s="68"/>
      <c r="D50" s="69" t="s">
        <v>94</v>
      </c>
      <c r="E50" s="69" t="s">
        <v>106</v>
      </c>
      <c r="F50" s="69"/>
      <c r="G50" s="70" t="s">
        <v>96</v>
      </c>
      <c r="H50" s="69"/>
      <c r="I50" s="71" t="s">
        <v>93</v>
      </c>
      <c r="J50" s="72"/>
    </row>
    <row r="51" spans="2:11" s="24" customFormat="1" ht="12.75" customHeight="1" x14ac:dyDescent="0.2">
      <c r="B51" s="73" t="s">
        <v>97</v>
      </c>
      <c r="C51" s="73"/>
      <c r="D51" s="74"/>
      <c r="E51" s="75"/>
      <c r="F51" s="75"/>
      <c r="G51" s="75"/>
      <c r="H51" s="75"/>
      <c r="I51" s="75"/>
      <c r="J51" s="75"/>
    </row>
    <row r="52" spans="2:11" s="24" customFormat="1" ht="12.75" customHeight="1" x14ac:dyDescent="0.2">
      <c r="B52" s="60" t="s">
        <v>98</v>
      </c>
      <c r="C52" s="60"/>
      <c r="D52" s="61">
        <v>180000</v>
      </c>
      <c r="E52" s="61">
        <v>950672.72</v>
      </c>
      <c r="F52" s="76"/>
      <c r="G52" s="61">
        <v>2062233.08</v>
      </c>
      <c r="H52" s="76"/>
      <c r="I52" s="61">
        <v>3192905.8</v>
      </c>
      <c r="J52" s="76"/>
      <c r="K52" s="61"/>
    </row>
    <row r="53" spans="2:11" s="24" customFormat="1" ht="12.75" customHeight="1" x14ac:dyDescent="0.2">
      <c r="B53" s="60" t="s">
        <v>99</v>
      </c>
      <c r="C53" s="60"/>
      <c r="D53" s="61"/>
      <c r="E53" s="61">
        <v>277211.38</v>
      </c>
      <c r="F53" s="76"/>
      <c r="G53" s="61">
        <v>1434534.37</v>
      </c>
      <c r="H53" s="76"/>
      <c r="I53" s="61">
        <v>1711745.75</v>
      </c>
      <c r="J53" s="76"/>
      <c r="K53" s="61"/>
    </row>
    <row r="54" spans="2:11" s="24" customFormat="1" ht="12.75" customHeight="1" x14ac:dyDescent="0.2">
      <c r="B54" s="60" t="s">
        <v>101</v>
      </c>
      <c r="C54" s="60"/>
      <c r="D54" s="77">
        <v>180000</v>
      </c>
      <c r="E54" s="77">
        <v>1227884.1000000001</v>
      </c>
      <c r="F54" s="74"/>
      <c r="G54" s="77">
        <v>3496767.45</v>
      </c>
      <c r="H54" s="74"/>
      <c r="I54" s="77">
        <v>9809303.0999999996</v>
      </c>
      <c r="J54" s="76"/>
      <c r="K54" s="74"/>
    </row>
    <row r="55" spans="2:11" s="24" customFormat="1" ht="12.75" customHeight="1" x14ac:dyDescent="0.2">
      <c r="B55" s="78"/>
      <c r="C55" s="78"/>
      <c r="J55" s="79"/>
    </row>
    <row r="56" spans="2:11" s="24" customFormat="1" ht="12.75" customHeight="1" x14ac:dyDescent="0.2">
      <c r="B56" s="80" t="s">
        <v>102</v>
      </c>
      <c r="C56" s="80"/>
      <c r="D56" s="81">
        <v>0</v>
      </c>
      <c r="E56" s="61">
        <v>822878.39</v>
      </c>
      <c r="F56" s="81"/>
      <c r="G56" s="76">
        <v>1394449.18</v>
      </c>
      <c r="H56" s="61"/>
      <c r="I56" s="61">
        <v>2217327.5699999998</v>
      </c>
      <c r="J56" s="76"/>
      <c r="K56" s="76"/>
    </row>
    <row r="57" spans="2:11" s="24" customFormat="1" ht="12.75" customHeight="1" x14ac:dyDescent="0.2">
      <c r="B57" s="82" t="s">
        <v>103</v>
      </c>
      <c r="C57" s="82"/>
      <c r="D57" s="61">
        <v>0</v>
      </c>
      <c r="E57" s="61">
        <v>285544.34000000003</v>
      </c>
      <c r="F57" s="61"/>
      <c r="G57" s="76">
        <v>812147.47</v>
      </c>
      <c r="H57" s="61"/>
      <c r="I57" s="61">
        <v>1097691.81</v>
      </c>
      <c r="J57" s="76"/>
      <c r="K57" s="76"/>
    </row>
    <row r="58" spans="2:11" s="24" customFormat="1" ht="12.75" customHeight="1" x14ac:dyDescent="0.2">
      <c r="B58" s="82" t="s">
        <v>104</v>
      </c>
      <c r="C58" s="82"/>
      <c r="D58" s="74">
        <v>0</v>
      </c>
      <c r="E58" s="74">
        <v>1108422.73</v>
      </c>
      <c r="F58" s="74"/>
      <c r="G58" s="74">
        <v>2206596.65</v>
      </c>
      <c r="H58" s="74"/>
      <c r="I58" s="74">
        <v>3315019.38</v>
      </c>
      <c r="J58" s="76"/>
      <c r="K58" s="74"/>
    </row>
    <row r="59" spans="2:11" s="24" customFormat="1" ht="12.75" customHeight="1" x14ac:dyDescent="0.2">
      <c r="B59" s="82" t="s">
        <v>105</v>
      </c>
      <c r="C59" s="82"/>
      <c r="D59" s="77">
        <v>180000</v>
      </c>
      <c r="E59" s="77">
        <v>119461.37</v>
      </c>
      <c r="F59" s="74"/>
      <c r="G59" s="77">
        <v>1290170.8</v>
      </c>
      <c r="H59" s="74"/>
      <c r="I59" s="77">
        <v>1589632.17</v>
      </c>
      <c r="J59" s="79"/>
    </row>
    <row r="60" spans="2:11" s="24" customFormat="1" ht="12.75" customHeight="1" x14ac:dyDescent="0.2">
      <c r="B60" s="83"/>
      <c r="C60" s="83"/>
      <c r="D60" s="74"/>
      <c r="E60" s="74"/>
      <c r="F60" s="74"/>
      <c r="G60" s="74"/>
      <c r="H60" s="74"/>
      <c r="I60" s="74"/>
      <c r="J60" s="79"/>
    </row>
    <row r="61" spans="2:11" s="24" customFormat="1" ht="12.75" customHeight="1" x14ac:dyDescent="0.2">
      <c r="B61" s="83"/>
      <c r="C61" s="83"/>
      <c r="D61" s="74"/>
      <c r="E61" s="74"/>
      <c r="F61" s="74"/>
      <c r="G61" s="74"/>
      <c r="H61" s="74"/>
      <c r="I61" s="74"/>
      <c r="J61" s="79"/>
    </row>
    <row r="62" spans="2:11" s="24" customFormat="1" ht="12.75" customHeight="1" x14ac:dyDescent="0.2">
      <c r="B62" s="83"/>
      <c r="C62" s="83"/>
      <c r="D62" s="74"/>
      <c r="E62" s="74"/>
      <c r="F62" s="74"/>
      <c r="G62" s="74"/>
      <c r="H62" s="74"/>
      <c r="I62" s="74"/>
      <c r="J62" s="79"/>
    </row>
    <row r="63" spans="2:11" s="24" customFormat="1" ht="12.75" customHeight="1" x14ac:dyDescent="0.2">
      <c r="B63" s="83"/>
      <c r="C63" s="83"/>
      <c r="D63" s="74"/>
      <c r="E63" s="74"/>
      <c r="F63" s="74"/>
      <c r="G63" s="74"/>
      <c r="H63" s="74"/>
      <c r="I63" s="74"/>
      <c r="J63" s="79"/>
    </row>
    <row r="64" spans="2:11" s="24" customFormat="1" ht="12.75" customHeight="1" x14ac:dyDescent="0.2">
      <c r="B64" s="83"/>
      <c r="C64" s="83"/>
      <c r="D64" s="74"/>
      <c r="E64" s="74"/>
      <c r="F64" s="74"/>
      <c r="G64" s="74"/>
      <c r="H64" s="74"/>
      <c r="I64" s="74"/>
      <c r="J64" s="79"/>
    </row>
    <row r="65" spans="1:12" s="24" customFormat="1" ht="12.75" customHeight="1" x14ac:dyDescent="0.2">
      <c r="B65" s="83"/>
      <c r="C65" s="83"/>
      <c r="D65" s="74"/>
      <c r="E65" s="74"/>
      <c r="F65" s="74"/>
      <c r="G65" s="74"/>
      <c r="H65" s="74"/>
      <c r="I65" s="74"/>
      <c r="J65" s="79"/>
    </row>
    <row r="66" spans="1:12" s="24" customFormat="1" ht="12.75" customHeight="1" x14ac:dyDescent="0.2">
      <c r="B66" s="83"/>
      <c r="C66" s="83"/>
      <c r="D66" s="74"/>
      <c r="E66" s="74"/>
      <c r="F66" s="74"/>
      <c r="G66" s="74"/>
      <c r="H66" s="74"/>
      <c r="I66" s="74"/>
      <c r="J66" s="79"/>
    </row>
    <row r="67" spans="1:12" s="24" customFormat="1" ht="12.75" customHeight="1" x14ac:dyDescent="0.2">
      <c r="B67" s="83"/>
      <c r="C67" s="83"/>
      <c r="D67" s="74"/>
      <c r="E67" s="74"/>
      <c r="F67" s="74"/>
      <c r="G67" s="74"/>
      <c r="H67" s="74"/>
      <c r="I67" s="74"/>
      <c r="J67" s="79"/>
    </row>
    <row r="68" spans="1:12" s="24" customFormat="1" ht="12.75" customHeight="1" x14ac:dyDescent="0.2">
      <c r="B68" s="83"/>
      <c r="C68" s="83"/>
      <c r="D68" s="74"/>
      <c r="E68" s="74"/>
      <c r="F68" s="74"/>
      <c r="G68" s="74"/>
      <c r="H68" s="74"/>
      <c r="I68" s="74"/>
      <c r="J68" s="79"/>
    </row>
    <row r="69" spans="1:12" s="24" customFormat="1" x14ac:dyDescent="0.2">
      <c r="B69" s="84"/>
      <c r="C69" s="84"/>
      <c r="G69" s="85"/>
      <c r="I69" s="85"/>
    </row>
    <row r="70" spans="1:12" x14ac:dyDescent="0.2">
      <c r="A70" s="14"/>
      <c r="B70" s="15" t="s">
        <v>107</v>
      </c>
      <c r="C70" s="15"/>
      <c r="D70" s="15"/>
      <c r="E70" s="15"/>
      <c r="F70" s="15"/>
      <c r="G70" s="15"/>
      <c r="H70" s="15"/>
      <c r="I70" s="15"/>
      <c r="J70" s="86"/>
    </row>
    <row r="71" spans="1:12" x14ac:dyDescent="0.2">
      <c r="B71" s="87" t="s">
        <v>108</v>
      </c>
      <c r="C71" s="87"/>
      <c r="D71" s="87"/>
      <c r="E71" s="87"/>
      <c r="F71" s="87"/>
      <c r="G71" s="87"/>
      <c r="H71" s="87"/>
      <c r="I71" s="87"/>
      <c r="J71" s="87"/>
    </row>
    <row r="72" spans="1:12" x14ac:dyDescent="0.2">
      <c r="A72" s="20"/>
      <c r="B72" s="20"/>
      <c r="C72" s="20"/>
      <c r="D72" s="20"/>
      <c r="E72" s="20"/>
      <c r="F72" s="20"/>
      <c r="G72" s="20"/>
      <c r="H72" s="20"/>
      <c r="I72" s="23"/>
      <c r="J72" s="20"/>
    </row>
    <row r="73" spans="1:12" x14ac:dyDescent="0.2">
      <c r="A73" s="20"/>
      <c r="B73" s="20"/>
      <c r="C73" s="20"/>
      <c r="D73" s="20"/>
      <c r="E73" s="20"/>
      <c r="F73" s="20"/>
      <c r="G73" s="20"/>
      <c r="H73" s="20"/>
      <c r="I73" s="23"/>
      <c r="J73" s="20"/>
    </row>
    <row r="74" spans="1:12" ht="25.5" x14ac:dyDescent="0.2">
      <c r="A74" s="20"/>
      <c r="B74" s="21" t="s">
        <v>78</v>
      </c>
      <c r="C74" s="21"/>
      <c r="D74" s="88" t="s">
        <v>109</v>
      </c>
      <c r="E74" s="88" t="s">
        <v>110</v>
      </c>
      <c r="F74" s="88"/>
      <c r="G74" s="89" t="s">
        <v>111</v>
      </c>
      <c r="H74" s="88"/>
      <c r="I74" s="90" t="s">
        <v>93</v>
      </c>
      <c r="J74" s="22"/>
    </row>
    <row r="75" spans="1:12" x14ac:dyDescent="0.2">
      <c r="A75" s="20"/>
      <c r="B75" s="24" t="s">
        <v>112</v>
      </c>
      <c r="C75" s="24"/>
      <c r="D75" s="91">
        <v>3746765.56</v>
      </c>
      <c r="E75" s="91">
        <v>11336858.01</v>
      </c>
      <c r="F75" s="91"/>
      <c r="G75" s="91">
        <v>8866684.9299999997</v>
      </c>
      <c r="H75" s="91"/>
      <c r="I75" s="91">
        <v>23950308.5</v>
      </c>
      <c r="J75" s="25"/>
    </row>
    <row r="76" spans="1:12" x14ac:dyDescent="0.2">
      <c r="A76" s="20"/>
      <c r="B76" s="24" t="s">
        <v>99</v>
      </c>
      <c r="C76" s="24"/>
      <c r="D76" s="91">
        <v>1381426</v>
      </c>
      <c r="E76" s="91">
        <v>1078299.6200000001</v>
      </c>
      <c r="F76" s="91"/>
      <c r="G76" s="91">
        <v>2234400</v>
      </c>
      <c r="H76" s="91"/>
      <c r="I76" s="91">
        <v>4694125.62</v>
      </c>
      <c r="J76" s="25"/>
    </row>
    <row r="77" spans="1:12" x14ac:dyDescent="0.2">
      <c r="A77" s="20"/>
      <c r="B77" s="92" t="s">
        <v>113</v>
      </c>
      <c r="C77" s="92"/>
      <c r="D77" s="93">
        <v>5128191.5599999996</v>
      </c>
      <c r="E77" s="93">
        <v>12415157.630000001</v>
      </c>
      <c r="F77" s="93"/>
      <c r="G77" s="93">
        <v>11101084.93</v>
      </c>
      <c r="H77" s="93"/>
      <c r="I77" s="93">
        <v>28644434.120000001</v>
      </c>
      <c r="J77" s="27"/>
      <c r="L77" s="94"/>
    </row>
    <row r="78" spans="1:12" x14ac:dyDescent="0.2">
      <c r="A78" s="20"/>
      <c r="B78" s="24"/>
      <c r="C78" s="24"/>
      <c r="D78" s="91"/>
      <c r="E78" s="91"/>
      <c r="F78" s="91"/>
      <c r="G78" s="91"/>
      <c r="H78" s="91"/>
      <c r="I78" s="91"/>
      <c r="J78" s="25"/>
    </row>
    <row r="79" spans="1:12" x14ac:dyDescent="0.2">
      <c r="A79" s="20"/>
      <c r="B79" s="24" t="s">
        <v>114</v>
      </c>
      <c r="C79" s="24"/>
      <c r="D79" s="91">
        <v>3161188.79</v>
      </c>
      <c r="E79" s="91">
        <v>6771931.6799999997</v>
      </c>
      <c r="F79" s="91"/>
      <c r="G79" s="91">
        <v>8333840.54</v>
      </c>
      <c r="H79" s="91"/>
      <c r="I79" s="91">
        <v>18266961.010000002</v>
      </c>
      <c r="J79" s="25"/>
    </row>
    <row r="80" spans="1:12" x14ac:dyDescent="0.2">
      <c r="A80" s="20"/>
      <c r="B80" s="24" t="s">
        <v>103</v>
      </c>
      <c r="C80" s="24"/>
      <c r="D80" s="91">
        <v>1474664.06</v>
      </c>
      <c r="E80" s="91">
        <v>1575435.38</v>
      </c>
      <c r="F80" s="91"/>
      <c r="G80" s="91">
        <v>166489.72</v>
      </c>
      <c r="H80" s="91"/>
      <c r="I80" s="91">
        <v>3216589.16</v>
      </c>
      <c r="J80" s="25"/>
    </row>
    <row r="81" spans="1:12" x14ac:dyDescent="0.2">
      <c r="A81" s="20"/>
      <c r="B81" s="92" t="s">
        <v>113</v>
      </c>
      <c r="C81" s="92"/>
      <c r="D81" s="95">
        <v>4635852.8499999996</v>
      </c>
      <c r="E81" s="95">
        <v>8347367.0599999996</v>
      </c>
      <c r="F81" s="93"/>
      <c r="G81" s="95">
        <v>8500330.2599999998</v>
      </c>
      <c r="H81" s="93"/>
      <c r="I81" s="95">
        <v>21483550.170000002</v>
      </c>
      <c r="J81" s="27"/>
      <c r="K81" s="94"/>
    </row>
    <row r="82" spans="1:12" ht="13.5" thickBot="1" x14ac:dyDescent="0.25">
      <c r="A82" s="20"/>
      <c r="B82" s="92" t="s">
        <v>115</v>
      </c>
      <c r="C82" s="92"/>
      <c r="D82" s="96">
        <v>492338.71</v>
      </c>
      <c r="E82" s="96">
        <v>4067790.57</v>
      </c>
      <c r="F82" s="93"/>
      <c r="G82" s="96">
        <v>2600754.67</v>
      </c>
      <c r="H82" s="93"/>
      <c r="I82" s="96">
        <v>7160883.9500000002</v>
      </c>
      <c r="J82" s="27"/>
      <c r="K82" s="19"/>
      <c r="L82" s="40"/>
    </row>
    <row r="83" spans="1:12" ht="13.5" thickTop="1" x14ac:dyDescent="0.2">
      <c r="A83" s="20"/>
      <c r="B83" s="92"/>
      <c r="C83" s="92"/>
      <c r="D83" s="93"/>
      <c r="E83" s="93"/>
      <c r="F83" s="93"/>
      <c r="G83" s="93"/>
      <c r="H83" s="93"/>
      <c r="I83" s="93"/>
      <c r="J83" s="27"/>
      <c r="K83" s="19"/>
      <c r="L83" s="19"/>
    </row>
    <row r="84" spans="1:12" x14ac:dyDescent="0.2">
      <c r="A84" s="20"/>
      <c r="B84" s="92"/>
      <c r="C84" s="92"/>
      <c r="D84" s="93"/>
      <c r="E84" s="93"/>
      <c r="F84" s="93"/>
      <c r="G84" s="93"/>
      <c r="H84" s="93"/>
      <c r="I84" s="93"/>
      <c r="J84" s="27"/>
      <c r="K84" s="19"/>
      <c r="L84" s="40"/>
    </row>
    <row r="85" spans="1:12" ht="25.5" x14ac:dyDescent="0.2">
      <c r="A85" s="20"/>
      <c r="B85" s="21" t="s">
        <v>78</v>
      </c>
      <c r="C85" s="21"/>
      <c r="D85" s="88" t="s">
        <v>109</v>
      </c>
      <c r="E85" s="88" t="s">
        <v>110</v>
      </c>
      <c r="F85" s="88"/>
      <c r="G85" s="89" t="s">
        <v>111</v>
      </c>
      <c r="H85" s="88"/>
      <c r="I85" s="72" t="s">
        <v>93</v>
      </c>
      <c r="J85" s="22"/>
    </row>
    <row r="86" spans="1:12" x14ac:dyDescent="0.2">
      <c r="A86" s="20"/>
      <c r="B86" s="97" t="s">
        <v>116</v>
      </c>
      <c r="C86" s="97"/>
      <c r="D86" s="98">
        <v>3746765.56</v>
      </c>
      <c r="E86" s="98">
        <v>10276483.42</v>
      </c>
      <c r="F86" s="98"/>
      <c r="G86" s="98">
        <v>8866684.9299999997</v>
      </c>
      <c r="H86" s="98"/>
      <c r="I86" s="98">
        <v>22889933.91</v>
      </c>
      <c r="J86" s="99"/>
    </row>
    <row r="87" spans="1:12" x14ac:dyDescent="0.2">
      <c r="A87" s="20"/>
      <c r="B87" s="100" t="s">
        <v>99</v>
      </c>
      <c r="C87" s="100"/>
      <c r="D87" s="98">
        <v>0</v>
      </c>
      <c r="E87" s="98">
        <v>1060374.5900000001</v>
      </c>
      <c r="F87" s="98"/>
      <c r="G87" s="98">
        <v>0</v>
      </c>
      <c r="H87" s="98"/>
      <c r="I87" s="98">
        <v>1060374.5900000001</v>
      </c>
      <c r="J87" s="99"/>
    </row>
    <row r="88" spans="1:12" x14ac:dyDescent="0.2">
      <c r="A88" s="20"/>
      <c r="B88" s="101" t="s">
        <v>113</v>
      </c>
      <c r="C88" s="101"/>
      <c r="D88" s="102">
        <v>3746765.56</v>
      </c>
      <c r="E88" s="102">
        <v>11336858.01</v>
      </c>
      <c r="F88" s="103"/>
      <c r="G88" s="102">
        <v>8866684.9299999997</v>
      </c>
      <c r="H88" s="103"/>
      <c r="I88" s="102">
        <v>23950308.5</v>
      </c>
      <c r="J88" s="104">
        <f>SUM(J86:J87)</f>
        <v>0</v>
      </c>
    </row>
    <row r="89" spans="1:12" x14ac:dyDescent="0.2">
      <c r="A89" s="20"/>
      <c r="B89" s="100"/>
      <c r="C89" s="100"/>
      <c r="D89" s="98"/>
      <c r="E89" s="98"/>
      <c r="F89" s="98"/>
      <c r="G89" s="98"/>
      <c r="H89" s="98"/>
      <c r="I89" s="98">
        <f>+D89+E89+G89</f>
        <v>0</v>
      </c>
      <c r="J89" s="99"/>
    </row>
    <row r="90" spans="1:12" x14ac:dyDescent="0.2">
      <c r="A90" s="20"/>
      <c r="B90" s="100" t="s">
        <v>114</v>
      </c>
      <c r="C90" s="100"/>
      <c r="D90" s="98">
        <v>2291697.5</v>
      </c>
      <c r="E90" s="98">
        <v>6058091.4699999997</v>
      </c>
      <c r="F90" s="98"/>
      <c r="G90" s="98">
        <v>8169290.7599999998</v>
      </c>
      <c r="H90" s="98"/>
      <c r="I90" s="98">
        <v>16519079.73</v>
      </c>
      <c r="J90" s="99"/>
    </row>
    <row r="91" spans="1:12" x14ac:dyDescent="0.2">
      <c r="A91" s="20"/>
      <c r="B91" s="100" t="s">
        <v>103</v>
      </c>
      <c r="C91" s="100"/>
      <c r="D91" s="91">
        <v>869491.29</v>
      </c>
      <c r="E91" s="91">
        <v>713840.21</v>
      </c>
      <c r="F91" s="91"/>
      <c r="G91" s="91">
        <v>164549.78</v>
      </c>
      <c r="H91" s="91"/>
      <c r="I91" s="91">
        <v>1747881.28</v>
      </c>
      <c r="J91" s="25"/>
    </row>
    <row r="92" spans="1:12" x14ac:dyDescent="0.2">
      <c r="A92" s="20"/>
      <c r="B92" s="101" t="s">
        <v>113</v>
      </c>
      <c r="C92" s="101"/>
      <c r="D92" s="102">
        <v>3161188.79</v>
      </c>
      <c r="E92" s="102">
        <v>6771931.6799999997</v>
      </c>
      <c r="F92" s="103"/>
      <c r="G92" s="102">
        <v>8333840.54</v>
      </c>
      <c r="H92" s="103"/>
      <c r="I92" s="102">
        <v>18266961.010000002</v>
      </c>
      <c r="J92" s="104"/>
    </row>
    <row r="93" spans="1:12" ht="13.5" thickBot="1" x14ac:dyDescent="0.25">
      <c r="A93" s="16"/>
      <c r="B93" s="101" t="s">
        <v>117</v>
      </c>
      <c r="C93" s="101"/>
      <c r="D93" s="96">
        <v>585576.77</v>
      </c>
      <c r="E93" s="96">
        <v>4564926.33</v>
      </c>
      <c r="F93" s="93"/>
      <c r="G93" s="96">
        <v>532844.39</v>
      </c>
      <c r="H93" s="93"/>
      <c r="I93" s="96">
        <v>5683347.4900000002</v>
      </c>
      <c r="J93" s="27"/>
    </row>
    <row r="94" spans="1:12" ht="13.5" thickTop="1" x14ac:dyDescent="0.2">
      <c r="A94" s="16"/>
      <c r="B94" s="92"/>
      <c r="C94" s="92"/>
      <c r="D94" s="92"/>
      <c r="E94" s="27"/>
      <c r="F94" s="27"/>
      <c r="G94" s="27"/>
      <c r="H94" s="27"/>
      <c r="I94" s="27"/>
      <c r="J94" s="27"/>
    </row>
    <row r="95" spans="1:12" x14ac:dyDescent="0.2">
      <c r="A95" s="14"/>
      <c r="B95" s="42"/>
      <c r="C95" s="42"/>
      <c r="D95" s="42"/>
      <c r="E95" s="31"/>
      <c r="F95" s="31"/>
      <c r="G95" s="31"/>
      <c r="H95" s="31"/>
      <c r="I95" s="31"/>
      <c r="J95" s="31"/>
    </row>
    <row r="96" spans="1:12" x14ac:dyDescent="0.2">
      <c r="A96" s="14"/>
      <c r="B96" s="42"/>
      <c r="C96" s="42"/>
      <c r="D96" s="42"/>
      <c r="E96" s="31"/>
      <c r="F96" s="31"/>
      <c r="G96" s="31"/>
      <c r="H96" s="31"/>
      <c r="I96" s="31"/>
      <c r="J96" s="31"/>
    </row>
    <row r="97" spans="1:12" x14ac:dyDescent="0.2">
      <c r="A97" s="14"/>
      <c r="B97" s="42"/>
      <c r="C97" s="42"/>
      <c r="D97" s="42"/>
      <c r="E97" s="31"/>
      <c r="F97" s="31"/>
      <c r="G97" s="31"/>
      <c r="H97" s="31"/>
      <c r="I97" s="31"/>
      <c r="J97" s="31"/>
    </row>
    <row r="98" spans="1:12" x14ac:dyDescent="0.2">
      <c r="A98" s="14"/>
      <c r="B98" s="42"/>
      <c r="C98" s="42"/>
      <c r="D98" s="42"/>
      <c r="E98" s="31"/>
      <c r="F98" s="31"/>
      <c r="G98" s="31"/>
      <c r="H98" s="31"/>
      <c r="I98" s="31"/>
      <c r="J98" s="31"/>
    </row>
    <row r="99" spans="1:12" x14ac:dyDescent="0.2">
      <c r="A99" s="14"/>
      <c r="B99" s="105" t="s">
        <v>118</v>
      </c>
      <c r="C99" s="105"/>
      <c r="D99" s="105"/>
      <c r="E99" s="106"/>
      <c r="F99" s="106"/>
      <c r="G99" s="106"/>
      <c r="H99" s="106"/>
      <c r="I99" s="106"/>
      <c r="J99" s="27"/>
    </row>
    <row r="100" spans="1:12" x14ac:dyDescent="0.2">
      <c r="A100" s="14"/>
      <c r="B100" s="42"/>
      <c r="C100" s="42"/>
      <c r="D100" s="42"/>
      <c r="E100" s="31"/>
      <c r="F100" s="31"/>
      <c r="G100" s="31"/>
      <c r="H100" s="31"/>
      <c r="I100" s="31"/>
      <c r="J100" s="31"/>
    </row>
    <row r="101" spans="1:12" x14ac:dyDescent="0.2">
      <c r="B101" s="17" t="s">
        <v>119</v>
      </c>
    </row>
    <row r="103" spans="1:12" x14ac:dyDescent="0.2">
      <c r="B103" s="107"/>
      <c r="C103" s="107"/>
      <c r="D103" s="107"/>
      <c r="E103" s="108">
        <v>2023</v>
      </c>
      <c r="G103" s="109">
        <v>2022</v>
      </c>
      <c r="I103" s="17"/>
      <c r="K103" s="19"/>
      <c r="L103" s="19"/>
    </row>
    <row r="104" spans="1:12" ht="28.5" customHeight="1" x14ac:dyDescent="0.2">
      <c r="B104" s="110" t="s">
        <v>120</v>
      </c>
      <c r="C104" s="110"/>
      <c r="D104" s="110"/>
      <c r="E104" s="23">
        <v>1963676.48</v>
      </c>
      <c r="F104" s="20"/>
      <c r="G104" s="23">
        <v>1963676.48</v>
      </c>
      <c r="I104" s="111"/>
      <c r="K104" s="19"/>
    </row>
    <row r="105" spans="1:12" ht="12.75" customHeight="1" x14ac:dyDescent="0.2">
      <c r="B105" s="112" t="s">
        <v>121</v>
      </c>
      <c r="C105" s="112"/>
      <c r="D105" s="112"/>
      <c r="E105" s="113">
        <v>1963676.48</v>
      </c>
      <c r="F105" s="20"/>
      <c r="G105" s="113">
        <v>1963676.48</v>
      </c>
      <c r="H105" s="111"/>
      <c r="I105" s="114"/>
      <c r="K105" s="19"/>
    </row>
    <row r="106" spans="1:12" ht="13.5" customHeight="1" x14ac:dyDescent="0.2">
      <c r="B106" s="115"/>
      <c r="C106" s="115"/>
      <c r="D106" s="115"/>
      <c r="E106" s="33"/>
      <c r="F106" s="20"/>
      <c r="G106" s="33"/>
      <c r="H106" s="111"/>
      <c r="I106" s="114"/>
      <c r="K106" s="19"/>
    </row>
    <row r="107" spans="1:12" ht="13.5" customHeight="1" x14ac:dyDescent="0.2">
      <c r="B107" s="110" t="s">
        <v>122</v>
      </c>
      <c r="C107" s="110"/>
      <c r="D107" s="110"/>
      <c r="E107" s="23">
        <v>1499149.35</v>
      </c>
      <c r="F107" s="20"/>
      <c r="G107" s="23">
        <v>1082468.71</v>
      </c>
      <c r="H107" s="111"/>
      <c r="I107" s="111"/>
      <c r="K107" s="19"/>
    </row>
    <row r="108" spans="1:12" ht="13.5" customHeight="1" x14ac:dyDescent="0.2">
      <c r="B108" s="110" t="s">
        <v>123</v>
      </c>
      <c r="C108" s="110"/>
      <c r="D108" s="110"/>
      <c r="E108" s="116">
        <v>410286.94</v>
      </c>
      <c r="F108" s="20"/>
      <c r="G108" s="23">
        <v>416680.64</v>
      </c>
      <c r="H108" s="111"/>
      <c r="I108" s="111"/>
      <c r="K108" s="19"/>
    </row>
    <row r="109" spans="1:12" ht="13.5" customHeight="1" x14ac:dyDescent="0.2">
      <c r="B109" s="110" t="s">
        <v>124</v>
      </c>
      <c r="C109" s="110"/>
      <c r="D109" s="110"/>
      <c r="E109" s="117">
        <v>1909436.29</v>
      </c>
      <c r="F109" s="20"/>
      <c r="G109" s="117">
        <v>1499149.35</v>
      </c>
      <c r="H109" s="111"/>
      <c r="I109" s="114"/>
      <c r="K109" s="19"/>
    </row>
    <row r="110" spans="1:12" ht="13.5" customHeight="1" thickBot="1" x14ac:dyDescent="0.25">
      <c r="B110" s="118" t="s">
        <v>125</v>
      </c>
      <c r="C110" s="118"/>
      <c r="D110" s="118"/>
      <c r="E110" s="119">
        <v>54240.1899999999</v>
      </c>
      <c r="F110" s="20"/>
      <c r="G110" s="119">
        <v>464527.13</v>
      </c>
      <c r="H110" s="120"/>
      <c r="I110" s="120"/>
      <c r="K110" s="19"/>
    </row>
    <row r="111" spans="1:12" ht="12.75" customHeight="1" thickTop="1" x14ac:dyDescent="0.2">
      <c r="E111" s="94"/>
      <c r="H111" s="30"/>
      <c r="I111" s="30"/>
      <c r="K111" s="19"/>
    </row>
    <row r="112" spans="1:12" ht="12.75" customHeight="1" x14ac:dyDescent="0.2">
      <c r="B112" s="121"/>
      <c r="C112" s="121"/>
      <c r="D112" s="121"/>
      <c r="E112" s="121"/>
      <c r="F112" s="121"/>
      <c r="G112" s="121"/>
      <c r="H112" s="121"/>
      <c r="I112" s="121"/>
      <c r="K112" s="19"/>
    </row>
    <row r="113" spans="2:12" ht="38.25" customHeight="1" x14ac:dyDescent="0.2">
      <c r="B113" s="121" t="s">
        <v>126</v>
      </c>
      <c r="C113" s="121"/>
      <c r="D113" s="121"/>
      <c r="E113" s="121"/>
      <c r="F113" s="121"/>
      <c r="G113" s="121"/>
      <c r="H113" s="121"/>
      <c r="I113" s="121"/>
      <c r="L113" s="19"/>
    </row>
    <row r="114" spans="2:12" ht="14.25" customHeight="1" x14ac:dyDescent="0.2">
      <c r="B114" s="122"/>
      <c r="C114" s="122"/>
      <c r="D114" s="122"/>
      <c r="E114" s="122"/>
      <c r="F114" s="122"/>
      <c r="G114" s="122"/>
      <c r="H114" s="122"/>
      <c r="I114" s="122"/>
      <c r="L114" s="19"/>
    </row>
    <row r="115" spans="2:12" ht="14.25" customHeight="1" x14ac:dyDescent="0.2">
      <c r="B115" s="122"/>
      <c r="C115" s="122"/>
      <c r="D115" s="122"/>
      <c r="E115" s="122"/>
      <c r="F115" s="122"/>
      <c r="G115" s="122"/>
      <c r="H115" s="122"/>
      <c r="I115" s="122"/>
      <c r="L115" s="19"/>
    </row>
    <row r="116" spans="2:12" x14ac:dyDescent="0.2">
      <c r="E116" s="94"/>
      <c r="L116" s="19"/>
    </row>
    <row r="117" spans="2:12" x14ac:dyDescent="0.2">
      <c r="B117" s="105" t="s">
        <v>127</v>
      </c>
      <c r="C117" s="105"/>
      <c r="D117" s="105"/>
      <c r="E117" s="123"/>
      <c r="F117" s="123"/>
      <c r="G117" s="123"/>
      <c r="H117" s="123"/>
      <c r="I117" s="124"/>
      <c r="J117" s="20"/>
      <c r="K117" s="94"/>
      <c r="L117" s="94"/>
    </row>
    <row r="118" spans="2:12" ht="30" customHeight="1" x14ac:dyDescent="0.2">
      <c r="B118" s="125" t="s">
        <v>128</v>
      </c>
      <c r="C118" s="125"/>
      <c r="D118" s="125"/>
      <c r="E118" s="125"/>
      <c r="F118" s="125"/>
      <c r="G118" s="125"/>
      <c r="H118" s="125"/>
      <c r="I118" s="125"/>
    </row>
    <row r="119" spans="2:12" x14ac:dyDescent="0.2">
      <c r="B119" s="21" t="s">
        <v>78</v>
      </c>
      <c r="C119" s="21"/>
      <c r="D119" s="21"/>
      <c r="E119" s="22">
        <v>2023</v>
      </c>
      <c r="F119" s="22"/>
      <c r="G119" s="22">
        <v>2022</v>
      </c>
      <c r="H119" s="22"/>
    </row>
    <row r="120" spans="2:12" x14ac:dyDescent="0.2">
      <c r="B120" s="30" t="s">
        <v>129</v>
      </c>
      <c r="C120" s="30"/>
      <c r="D120" s="30"/>
      <c r="E120" s="25">
        <v>-193644674.94</v>
      </c>
      <c r="F120" s="26"/>
      <c r="G120" s="26">
        <v>329814925.85000002</v>
      </c>
      <c r="H120" s="26"/>
    </row>
    <row r="121" spans="2:12" x14ac:dyDescent="0.2">
      <c r="B121" s="30" t="s">
        <v>130</v>
      </c>
      <c r="C121" s="30"/>
      <c r="D121" s="30"/>
      <c r="E121" s="25">
        <v>354676274.94999999</v>
      </c>
      <c r="F121" s="26"/>
      <c r="G121" s="26">
        <v>24861349.100000001</v>
      </c>
      <c r="H121" s="26"/>
    </row>
    <row r="122" spans="2:12" ht="13.5" thickBot="1" x14ac:dyDescent="0.25">
      <c r="B122" s="42" t="s">
        <v>93</v>
      </c>
      <c r="C122" s="42"/>
      <c r="D122" s="42"/>
      <c r="E122" s="43">
        <v>161031600.00999999</v>
      </c>
      <c r="F122" s="31"/>
      <c r="G122" s="43">
        <v>354676274.94999999</v>
      </c>
      <c r="H122" s="31"/>
    </row>
    <row r="123" spans="2:12" ht="13.5" thickTop="1" x14ac:dyDescent="0.2">
      <c r="B123" s="42"/>
      <c r="C123" s="42"/>
      <c r="D123" s="42"/>
      <c r="E123" s="31"/>
      <c r="F123" s="31"/>
      <c r="G123" s="31"/>
      <c r="H123" s="31"/>
    </row>
    <row r="124" spans="2:12" x14ac:dyDescent="0.2">
      <c r="B124" s="42"/>
      <c r="C124" s="42"/>
      <c r="D124" s="42"/>
      <c r="E124" s="31"/>
      <c r="F124" s="31"/>
      <c r="G124" s="31"/>
      <c r="H124" s="31"/>
    </row>
    <row r="125" spans="2:12" x14ac:dyDescent="0.2">
      <c r="B125" s="42"/>
      <c r="C125" s="42"/>
      <c r="D125" s="42"/>
      <c r="E125" s="31"/>
      <c r="F125" s="31"/>
      <c r="G125" s="31"/>
      <c r="H125" s="31"/>
    </row>
    <row r="126" spans="2:12" x14ac:dyDescent="0.2">
      <c r="B126" s="42"/>
      <c r="C126" s="42"/>
      <c r="D126" s="42"/>
      <c r="E126" s="31"/>
      <c r="F126" s="31"/>
      <c r="G126" s="31"/>
      <c r="H126" s="31"/>
    </row>
    <row r="127" spans="2:12" x14ac:dyDescent="0.2">
      <c r="B127" s="42"/>
      <c r="C127" s="42"/>
      <c r="D127" s="42"/>
      <c r="E127" s="31"/>
      <c r="F127" s="31"/>
      <c r="G127" s="31"/>
      <c r="H127" s="31"/>
    </row>
    <row r="128" spans="2:12" x14ac:dyDescent="0.2">
      <c r="B128" s="42"/>
      <c r="C128" s="42"/>
      <c r="D128" s="42"/>
      <c r="E128" s="31"/>
      <c r="F128" s="31"/>
      <c r="G128" s="31"/>
      <c r="H128" s="31"/>
    </row>
    <row r="129" spans="2:10" x14ac:dyDescent="0.2">
      <c r="B129" s="105" t="s">
        <v>131</v>
      </c>
      <c r="C129" s="105"/>
      <c r="D129" s="105"/>
      <c r="E129" s="123"/>
      <c r="F129" s="123"/>
      <c r="G129" s="123"/>
      <c r="H129" s="123"/>
      <c r="I129" s="124"/>
      <c r="J129" s="20"/>
    </row>
    <row r="130" spans="2:10" x14ac:dyDescent="0.2">
      <c r="B130" s="17" t="s">
        <v>132</v>
      </c>
    </row>
    <row r="132" spans="2:10" x14ac:dyDescent="0.2">
      <c r="B132" s="21" t="s">
        <v>78</v>
      </c>
      <c r="C132" s="21"/>
      <c r="D132" s="21"/>
      <c r="E132" s="22">
        <v>2023</v>
      </c>
      <c r="F132" s="22"/>
      <c r="G132" s="22">
        <v>2022</v>
      </c>
      <c r="H132" s="22"/>
    </row>
    <row r="133" spans="2:10" x14ac:dyDescent="0.2">
      <c r="B133" s="126" t="s">
        <v>133</v>
      </c>
      <c r="C133" s="126"/>
      <c r="D133" s="126"/>
      <c r="E133" s="25">
        <v>70594062</v>
      </c>
      <c r="F133" s="26"/>
      <c r="G133" s="26">
        <v>72689138.829999998</v>
      </c>
      <c r="H133" s="26"/>
    </row>
    <row r="134" spans="2:10" x14ac:dyDescent="0.2">
      <c r="B134" s="126" t="s">
        <v>134</v>
      </c>
      <c r="C134" s="126"/>
      <c r="D134" s="126"/>
      <c r="E134" s="25"/>
      <c r="F134" s="26"/>
      <c r="G134" s="26">
        <v>386805976.64999998</v>
      </c>
      <c r="H134" s="26"/>
    </row>
    <row r="135" spans="2:10" ht="13.5" thickBot="1" x14ac:dyDescent="0.25">
      <c r="B135" s="42" t="s">
        <v>93</v>
      </c>
      <c r="C135" s="42"/>
      <c r="D135" s="42"/>
      <c r="E135" s="43">
        <v>70594062</v>
      </c>
      <c r="F135" s="31"/>
      <c r="G135" s="29">
        <v>459495115.48000002</v>
      </c>
      <c r="H135" s="31"/>
    </row>
    <row r="136" spans="2:10" ht="13.5" thickTop="1" x14ac:dyDescent="0.2">
      <c r="B136" s="42"/>
      <c r="C136" s="42"/>
      <c r="D136" s="42"/>
      <c r="E136" s="31"/>
      <c r="F136" s="31"/>
      <c r="G136" s="27"/>
      <c r="H136" s="31"/>
    </row>
    <row r="137" spans="2:10" x14ac:dyDescent="0.2">
      <c r="B137" s="42"/>
      <c r="C137" s="42"/>
      <c r="D137" s="42"/>
      <c r="E137" s="31"/>
      <c r="F137" s="31"/>
      <c r="G137" s="27"/>
      <c r="H137" s="31"/>
    </row>
    <row r="138" spans="2:10" x14ac:dyDescent="0.2">
      <c r="B138" s="42"/>
      <c r="C138" s="42"/>
      <c r="D138" s="42"/>
      <c r="E138" s="31"/>
      <c r="F138" s="31"/>
      <c r="G138" s="27"/>
      <c r="H138" s="31"/>
    </row>
    <row r="139" spans="2:10" x14ac:dyDescent="0.2">
      <c r="B139" s="42"/>
      <c r="C139" s="42"/>
      <c r="D139" s="42"/>
      <c r="E139" s="31"/>
      <c r="F139" s="31"/>
      <c r="G139" s="27"/>
      <c r="H139" s="31"/>
    </row>
    <row r="140" spans="2:10" x14ac:dyDescent="0.2">
      <c r="B140" s="42"/>
      <c r="C140" s="42"/>
      <c r="D140" s="42"/>
      <c r="E140" s="31"/>
      <c r="F140" s="31"/>
      <c r="G140" s="27"/>
      <c r="H140" s="31"/>
    </row>
    <row r="141" spans="2:10" x14ac:dyDescent="0.2">
      <c r="B141" s="105" t="s">
        <v>135</v>
      </c>
      <c r="C141" s="105"/>
      <c r="D141" s="105"/>
      <c r="E141" s="123"/>
      <c r="F141" s="123"/>
      <c r="G141" s="123"/>
      <c r="H141" s="123"/>
      <c r="I141" s="123"/>
      <c r="J141" s="20"/>
    </row>
    <row r="142" spans="2:10" x14ac:dyDescent="0.2">
      <c r="B142" s="17" t="s">
        <v>132</v>
      </c>
      <c r="H142" s="20"/>
      <c r="I142" s="20"/>
      <c r="J142" s="20"/>
    </row>
    <row r="143" spans="2:10" x14ac:dyDescent="0.2">
      <c r="H143" s="20"/>
      <c r="I143" s="20"/>
      <c r="J143" s="20"/>
    </row>
    <row r="144" spans="2:10" x14ac:dyDescent="0.2">
      <c r="B144" s="21" t="s">
        <v>78</v>
      </c>
      <c r="C144" s="21"/>
      <c r="D144" s="21"/>
      <c r="E144" s="22">
        <v>2023</v>
      </c>
      <c r="F144" s="22"/>
      <c r="G144" s="22">
        <v>2022</v>
      </c>
      <c r="H144" s="20"/>
      <c r="I144" s="20"/>
      <c r="J144" s="20"/>
    </row>
    <row r="145" spans="2:10" x14ac:dyDescent="0.2">
      <c r="B145" s="126" t="s">
        <v>136</v>
      </c>
      <c r="C145" s="126"/>
      <c r="D145" s="126"/>
      <c r="E145" s="25">
        <v>10000</v>
      </c>
      <c r="F145" s="26"/>
      <c r="G145" s="26">
        <v>0</v>
      </c>
      <c r="I145" s="20"/>
      <c r="J145" s="20"/>
    </row>
    <row r="146" spans="2:10" ht="13.5" thickBot="1" x14ac:dyDescent="0.25">
      <c r="B146" s="42" t="s">
        <v>93</v>
      </c>
      <c r="C146" s="42"/>
      <c r="D146" s="42"/>
      <c r="E146" s="43">
        <v>10000</v>
      </c>
      <c r="F146" s="31"/>
      <c r="G146" s="29">
        <v>0</v>
      </c>
      <c r="I146" s="20"/>
      <c r="J146" s="20"/>
    </row>
    <row r="147" spans="2:10" ht="13.5" thickTop="1" x14ac:dyDescent="0.2">
      <c r="I147" s="20"/>
      <c r="J147" s="20"/>
    </row>
    <row r="148" spans="2:10" x14ac:dyDescent="0.2">
      <c r="B148" s="17" t="s">
        <v>137</v>
      </c>
      <c r="I148" s="20"/>
      <c r="J148" s="20"/>
    </row>
    <row r="149" spans="2:10" x14ac:dyDescent="0.2">
      <c r="I149" s="20"/>
      <c r="J149" s="20"/>
    </row>
    <row r="150" spans="2:10" x14ac:dyDescent="0.2">
      <c r="I150" s="20"/>
      <c r="J150" s="20"/>
    </row>
    <row r="152" spans="2:10" x14ac:dyDescent="0.2">
      <c r="B152" s="105" t="s">
        <v>138</v>
      </c>
      <c r="C152" s="105"/>
      <c r="D152" s="105"/>
      <c r="E152" s="123"/>
      <c r="F152" s="123"/>
      <c r="G152" s="123"/>
      <c r="H152" s="123"/>
      <c r="I152" s="124"/>
      <c r="J152" s="20"/>
    </row>
    <row r="153" spans="2:10" ht="25.5" customHeight="1" x14ac:dyDescent="0.2">
      <c r="B153" s="127" t="s">
        <v>139</v>
      </c>
      <c r="C153" s="127"/>
      <c r="D153" s="127"/>
      <c r="E153" s="127"/>
      <c r="F153" s="127"/>
      <c r="G153" s="127"/>
      <c r="H153" s="128"/>
      <c r="I153" s="128"/>
    </row>
    <row r="155" spans="2:10" x14ac:dyDescent="0.2">
      <c r="B155" s="21" t="s">
        <v>78</v>
      </c>
      <c r="C155" s="21"/>
      <c r="D155" s="21"/>
      <c r="E155" s="22">
        <v>2023</v>
      </c>
      <c r="F155" s="22"/>
      <c r="G155" s="22">
        <v>2022</v>
      </c>
      <c r="H155" s="22"/>
    </row>
    <row r="156" spans="2:10" x14ac:dyDescent="0.2">
      <c r="B156" s="129" t="s">
        <v>140</v>
      </c>
      <c r="C156" s="129"/>
      <c r="D156" s="129"/>
      <c r="E156" s="26">
        <v>30373333.329999998</v>
      </c>
      <c r="F156" s="26"/>
      <c r="G156" s="26">
        <v>29885000</v>
      </c>
      <c r="H156" s="26"/>
    </row>
    <row r="157" spans="2:10" x14ac:dyDescent="0.2">
      <c r="B157" s="129" t="s">
        <v>141</v>
      </c>
      <c r="C157" s="129"/>
      <c r="D157" s="129"/>
      <c r="E157" s="26">
        <v>17484000</v>
      </c>
      <c r="F157" s="26"/>
      <c r="G157" s="26">
        <v>15216000</v>
      </c>
      <c r="H157" s="26"/>
    </row>
    <row r="158" spans="2:10" x14ac:dyDescent="0.2">
      <c r="B158" s="129" t="s">
        <v>142</v>
      </c>
      <c r="C158" s="129"/>
      <c r="D158" s="129"/>
      <c r="E158" s="26">
        <v>264000</v>
      </c>
      <c r="F158" s="26"/>
      <c r="G158" s="19">
        <v>176000</v>
      </c>
      <c r="H158" s="26"/>
    </row>
    <row r="159" spans="2:10" ht="12.75" customHeight="1" x14ac:dyDescent="0.2">
      <c r="B159" s="130" t="s">
        <v>143</v>
      </c>
      <c r="C159" s="130"/>
      <c r="D159" s="130"/>
      <c r="E159" s="26">
        <v>3333302.4</v>
      </c>
      <c r="F159" s="26"/>
      <c r="G159" s="26">
        <v>3122825.86</v>
      </c>
      <c r="H159" s="26"/>
    </row>
    <row r="160" spans="2:10" ht="12.75" customHeight="1" x14ac:dyDescent="0.2">
      <c r="B160" s="130" t="s">
        <v>144</v>
      </c>
      <c r="C160" s="130"/>
      <c r="D160" s="130"/>
      <c r="E160" s="26">
        <v>3397870.67</v>
      </c>
      <c r="F160" s="26"/>
      <c r="G160" s="26">
        <v>3202171</v>
      </c>
      <c r="H160" s="26"/>
    </row>
    <row r="161" spans="2:10" ht="12.75" customHeight="1" x14ac:dyDescent="0.2">
      <c r="B161" s="129" t="s">
        <v>145</v>
      </c>
      <c r="C161" s="129"/>
      <c r="D161" s="129"/>
      <c r="E161" s="26">
        <v>407260.23</v>
      </c>
      <c r="F161" s="26"/>
      <c r="G161" s="26">
        <v>358641.36</v>
      </c>
      <c r="H161" s="26"/>
    </row>
    <row r="162" spans="2:10" x14ac:dyDescent="0.2">
      <c r="B162" s="129" t="s">
        <v>146</v>
      </c>
      <c r="C162" s="129"/>
      <c r="D162" s="129"/>
      <c r="E162" s="26">
        <v>3861249.99</v>
      </c>
      <c r="F162" s="26"/>
      <c r="G162" s="26">
        <v>3748083.33</v>
      </c>
      <c r="H162" s="26"/>
    </row>
    <row r="163" spans="2:10" x14ac:dyDescent="0.2">
      <c r="B163" s="129" t="s">
        <v>147</v>
      </c>
      <c r="C163" s="129"/>
      <c r="D163" s="129"/>
      <c r="E163" s="26">
        <v>3771333.34</v>
      </c>
      <c r="F163" s="26"/>
      <c r="G163" s="19">
        <v>3624000</v>
      </c>
      <c r="H163" s="26"/>
    </row>
    <row r="164" spans="2:10" x14ac:dyDescent="0.2">
      <c r="B164" s="129" t="s">
        <v>148</v>
      </c>
      <c r="C164" s="129"/>
      <c r="D164" s="129"/>
      <c r="E164" s="26">
        <v>3871583.33</v>
      </c>
      <c r="F164" s="26"/>
      <c r="G164" s="26">
        <v>3760300</v>
      </c>
      <c r="H164" s="26"/>
    </row>
    <row r="165" spans="2:10" x14ac:dyDescent="0.2">
      <c r="B165" s="129" t="s">
        <v>149</v>
      </c>
      <c r="C165" s="129"/>
      <c r="D165" s="129"/>
      <c r="E165" s="26">
        <v>3804666</v>
      </c>
      <c r="F165" s="26"/>
      <c r="G165" s="26">
        <v>0</v>
      </c>
      <c r="H165" s="26"/>
    </row>
    <row r="166" spans="2:10" x14ac:dyDescent="0.2">
      <c r="B166" s="129" t="s">
        <v>150</v>
      </c>
      <c r="C166" s="129"/>
      <c r="D166" s="129"/>
      <c r="E166" s="26">
        <v>0</v>
      </c>
      <c r="F166" s="26"/>
      <c r="G166" s="26">
        <v>15000</v>
      </c>
      <c r="H166" s="26"/>
    </row>
    <row r="167" spans="2:10" x14ac:dyDescent="0.2">
      <c r="B167" s="129" t="s">
        <v>151</v>
      </c>
      <c r="C167" s="129"/>
      <c r="D167" s="129"/>
      <c r="E167" s="26">
        <v>0</v>
      </c>
      <c r="F167" s="26"/>
      <c r="G167" s="26">
        <v>100000</v>
      </c>
      <c r="H167" s="26"/>
    </row>
    <row r="168" spans="2:10" x14ac:dyDescent="0.2">
      <c r="B168" s="129" t="s">
        <v>152</v>
      </c>
      <c r="C168" s="129"/>
      <c r="D168" s="129"/>
      <c r="E168" s="26">
        <v>64605.45</v>
      </c>
      <c r="F168" s="26"/>
      <c r="G168" s="19">
        <v>87309.64</v>
      </c>
      <c r="H168" s="26"/>
    </row>
    <row r="169" spans="2:10" ht="13.5" thickBot="1" x14ac:dyDescent="0.25">
      <c r="B169" s="42" t="s">
        <v>93</v>
      </c>
      <c r="C169" s="42"/>
      <c r="D169" s="42"/>
      <c r="E169" s="43">
        <v>70633204.739999995</v>
      </c>
      <c r="F169" s="26"/>
      <c r="G169" s="29">
        <v>63295331.189999998</v>
      </c>
      <c r="H169" s="26"/>
    </row>
    <row r="170" spans="2:10" ht="13.5" thickTop="1" x14ac:dyDescent="0.2">
      <c r="B170" s="42"/>
      <c r="C170" s="42"/>
      <c r="D170" s="42"/>
      <c r="E170" s="31"/>
      <c r="F170" s="26"/>
      <c r="G170" s="27"/>
      <c r="H170" s="26"/>
    </row>
    <row r="171" spans="2:10" x14ac:dyDescent="0.2">
      <c r="B171" s="42"/>
      <c r="C171" s="42"/>
      <c r="D171" s="42"/>
      <c r="E171" s="31"/>
      <c r="F171" s="26"/>
      <c r="G171" s="27"/>
      <c r="H171" s="26"/>
    </row>
    <row r="172" spans="2:10" x14ac:dyDescent="0.2">
      <c r="B172" s="42"/>
      <c r="C172" s="42"/>
      <c r="D172" s="42"/>
      <c r="E172" s="31"/>
      <c r="F172" s="26"/>
      <c r="G172" s="27"/>
      <c r="H172" s="26"/>
    </row>
    <row r="173" spans="2:10" x14ac:dyDescent="0.2">
      <c r="B173" s="42"/>
      <c r="C173" s="42"/>
      <c r="D173" s="42"/>
      <c r="E173" s="31"/>
      <c r="F173" s="26"/>
      <c r="G173" s="27"/>
      <c r="H173" s="26"/>
    </row>
    <row r="174" spans="2:10" x14ac:dyDescent="0.2">
      <c r="B174" s="42"/>
      <c r="C174" s="42"/>
      <c r="D174" s="42"/>
      <c r="E174" s="131"/>
      <c r="F174" s="26"/>
      <c r="G174" s="31"/>
      <c r="H174" s="26"/>
    </row>
    <row r="175" spans="2:10" ht="12.75" customHeight="1" x14ac:dyDescent="0.2">
      <c r="B175" s="127"/>
      <c r="C175" s="127"/>
      <c r="D175" s="127"/>
      <c r="E175" s="127"/>
      <c r="F175" s="127"/>
      <c r="G175" s="127"/>
      <c r="H175" s="127"/>
      <c r="I175" s="127"/>
      <c r="J175" s="132"/>
    </row>
    <row r="176" spans="2:10" ht="12.75" customHeight="1" x14ac:dyDescent="0.2">
      <c r="B176" s="105" t="s">
        <v>153</v>
      </c>
      <c r="C176" s="105"/>
      <c r="D176" s="105"/>
      <c r="E176" s="123"/>
      <c r="F176" s="123"/>
      <c r="G176" s="123"/>
      <c r="H176" s="133"/>
      <c r="I176" s="124"/>
      <c r="J176" s="20"/>
    </row>
    <row r="177" spans="2:8" ht="12.75" customHeight="1" x14ac:dyDescent="0.2">
      <c r="B177" s="127" t="s">
        <v>139</v>
      </c>
      <c r="C177" s="127"/>
      <c r="D177" s="127"/>
      <c r="E177" s="127"/>
      <c r="F177" s="127"/>
      <c r="G177" s="127"/>
      <c r="H177" s="25"/>
    </row>
    <row r="178" spans="2:8" ht="12.75" customHeight="1" x14ac:dyDescent="0.2">
      <c r="B178" s="42"/>
      <c r="C178" s="42"/>
      <c r="D178" s="42"/>
      <c r="E178" s="27"/>
      <c r="F178" s="25"/>
      <c r="G178" s="27"/>
      <c r="H178" s="25"/>
    </row>
    <row r="179" spans="2:8" ht="12.75" customHeight="1" x14ac:dyDescent="0.2">
      <c r="B179" s="21" t="s">
        <v>78</v>
      </c>
      <c r="C179" s="21"/>
      <c r="D179" s="21"/>
      <c r="E179" s="22">
        <v>2023</v>
      </c>
      <c r="F179" s="22"/>
      <c r="G179" s="22">
        <v>2022</v>
      </c>
      <c r="H179" s="25"/>
    </row>
    <row r="180" spans="2:8" ht="12.75" customHeight="1" x14ac:dyDescent="0.2">
      <c r="B180" s="134" t="s">
        <v>154</v>
      </c>
      <c r="C180" s="134"/>
      <c r="D180" s="134"/>
      <c r="E180" s="23">
        <v>0</v>
      </c>
      <c r="F180" s="25"/>
      <c r="G180" s="25">
        <v>16350</v>
      </c>
      <c r="H180" s="25"/>
    </row>
    <row r="181" spans="2:8" ht="12.75" customHeight="1" thickBot="1" x14ac:dyDescent="0.25">
      <c r="B181" s="42" t="s">
        <v>93</v>
      </c>
      <c r="C181" s="42"/>
      <c r="D181" s="42"/>
      <c r="E181" s="29">
        <v>0</v>
      </c>
      <c r="F181" s="25"/>
      <c r="G181" s="29">
        <v>16350</v>
      </c>
      <c r="H181" s="25"/>
    </row>
    <row r="182" spans="2:8" ht="12.75" customHeight="1" thickTop="1" x14ac:dyDescent="0.2">
      <c r="B182" s="42"/>
      <c r="C182" s="42"/>
      <c r="D182" s="42"/>
      <c r="E182" s="27"/>
      <c r="F182" s="25"/>
      <c r="G182" s="27"/>
      <c r="H182" s="25"/>
    </row>
    <row r="183" spans="2:8" ht="12.75" customHeight="1" x14ac:dyDescent="0.2">
      <c r="B183" s="42"/>
      <c r="C183" s="42"/>
      <c r="D183" s="42"/>
      <c r="E183" s="27"/>
      <c r="F183" s="25"/>
      <c r="G183" s="27"/>
      <c r="H183" s="25"/>
    </row>
    <row r="184" spans="2:8" ht="12.75" customHeight="1" x14ac:dyDescent="0.2">
      <c r="B184" s="42"/>
      <c r="C184" s="42"/>
      <c r="D184" s="42"/>
      <c r="E184" s="27"/>
      <c r="F184" s="25"/>
      <c r="G184" s="27"/>
      <c r="H184" s="25"/>
    </row>
    <row r="185" spans="2:8" ht="12.75" customHeight="1" x14ac:dyDescent="0.2">
      <c r="B185" s="42"/>
      <c r="C185" s="42"/>
      <c r="D185" s="42"/>
      <c r="E185" s="27"/>
      <c r="F185" s="25"/>
      <c r="G185" s="27"/>
      <c r="H185" s="25"/>
    </row>
    <row r="186" spans="2:8" ht="12.75" customHeight="1" x14ac:dyDescent="0.2">
      <c r="B186" s="42"/>
      <c r="C186" s="42"/>
      <c r="D186" s="42"/>
      <c r="E186" s="27"/>
      <c r="F186" s="25"/>
      <c r="G186" s="27"/>
      <c r="H186" s="25"/>
    </row>
    <row r="187" spans="2:8" ht="12.75" customHeight="1" x14ac:dyDescent="0.2">
      <c r="B187" s="42"/>
      <c r="C187" s="42"/>
      <c r="D187" s="42"/>
      <c r="E187" s="27"/>
      <c r="F187" s="25"/>
      <c r="G187" s="27"/>
      <c r="H187" s="25"/>
    </row>
    <row r="188" spans="2:8" ht="12.75" customHeight="1" x14ac:dyDescent="0.2">
      <c r="B188" s="42"/>
      <c r="C188" s="42"/>
      <c r="D188" s="42"/>
      <c r="E188" s="27"/>
      <c r="F188" s="25"/>
      <c r="G188" s="27"/>
      <c r="H188" s="25"/>
    </row>
    <row r="189" spans="2:8" ht="12.75" customHeight="1" x14ac:dyDescent="0.2">
      <c r="B189" s="42"/>
      <c r="C189" s="42"/>
      <c r="D189" s="42"/>
      <c r="E189" s="27"/>
      <c r="F189" s="25"/>
      <c r="G189" s="27"/>
      <c r="H189" s="25"/>
    </row>
    <row r="190" spans="2:8" ht="12.75" customHeight="1" x14ac:dyDescent="0.2">
      <c r="B190" s="42"/>
      <c r="C190" s="42"/>
      <c r="D190" s="42"/>
      <c r="E190" s="27"/>
      <c r="F190" s="25"/>
      <c r="G190" s="27"/>
      <c r="H190" s="25"/>
    </row>
    <row r="191" spans="2:8" ht="12.75" customHeight="1" x14ac:dyDescent="0.2">
      <c r="B191" s="42"/>
      <c r="C191" s="42"/>
      <c r="D191" s="42"/>
      <c r="E191" s="27"/>
      <c r="F191" s="25"/>
      <c r="G191" s="27"/>
      <c r="H191" s="25"/>
    </row>
    <row r="192" spans="2:8" ht="12.75" customHeight="1" x14ac:dyDescent="0.2">
      <c r="B192" s="42"/>
      <c r="C192" s="42"/>
      <c r="D192" s="42"/>
      <c r="E192" s="27"/>
      <c r="F192" s="25"/>
      <c r="G192" s="27"/>
      <c r="H192" s="25"/>
    </row>
    <row r="193" spans="2:10" ht="12.75" customHeight="1" x14ac:dyDescent="0.2">
      <c r="B193" s="42"/>
      <c r="C193" s="42"/>
      <c r="D193" s="42"/>
      <c r="E193" s="27"/>
      <c r="F193" s="25"/>
      <c r="G193" s="27"/>
      <c r="H193" s="25"/>
    </row>
    <row r="194" spans="2:10" ht="12.75" customHeight="1" x14ac:dyDescent="0.2">
      <c r="B194" s="42"/>
      <c r="C194" s="42"/>
      <c r="D194" s="42"/>
      <c r="E194" s="27"/>
      <c r="F194" s="25"/>
      <c r="G194" s="27"/>
      <c r="H194" s="25"/>
    </row>
    <row r="195" spans="2:10" ht="12.75" customHeight="1" x14ac:dyDescent="0.2">
      <c r="B195" s="42"/>
      <c r="C195" s="42"/>
      <c r="D195" s="42"/>
      <c r="E195" s="135"/>
      <c r="F195" s="25"/>
      <c r="G195" s="27"/>
      <c r="H195" s="25"/>
    </row>
    <row r="196" spans="2:10" x14ac:dyDescent="0.2">
      <c r="E196" s="136"/>
      <c r="F196" s="136"/>
      <c r="G196" s="136"/>
      <c r="H196" s="136"/>
    </row>
    <row r="197" spans="2:10" x14ac:dyDescent="0.2">
      <c r="B197" s="137" t="s">
        <v>155</v>
      </c>
      <c r="C197" s="137"/>
      <c r="D197" s="137"/>
      <c r="E197" s="137"/>
      <c r="F197" s="137"/>
      <c r="G197" s="137"/>
      <c r="H197" s="137"/>
      <c r="I197" s="15"/>
      <c r="J197" s="20"/>
    </row>
    <row r="198" spans="2:10" ht="29.25" customHeight="1" x14ac:dyDescent="0.2">
      <c r="B198" s="125" t="s">
        <v>156</v>
      </c>
      <c r="C198" s="125"/>
      <c r="D198" s="125"/>
      <c r="E198" s="125"/>
      <c r="F198" s="125"/>
      <c r="G198" s="125"/>
      <c r="H198" s="138"/>
      <c r="I198" s="138"/>
    </row>
    <row r="199" spans="2:10" x14ac:dyDescent="0.2">
      <c r="B199" s="21" t="s">
        <v>78</v>
      </c>
      <c r="C199" s="21"/>
      <c r="D199" s="21"/>
      <c r="E199" s="22">
        <v>2023</v>
      </c>
      <c r="F199" s="22"/>
      <c r="G199" s="22">
        <v>2022</v>
      </c>
      <c r="H199" s="22"/>
    </row>
    <row r="200" spans="2:10" x14ac:dyDescent="0.2">
      <c r="B200" s="139" t="s">
        <v>157</v>
      </c>
      <c r="C200" s="139"/>
      <c r="D200" s="139"/>
      <c r="E200" s="26">
        <v>33800</v>
      </c>
      <c r="F200" s="26"/>
      <c r="G200" s="25">
        <v>114517.77</v>
      </c>
      <c r="H200" s="26"/>
    </row>
    <row r="201" spans="2:10" x14ac:dyDescent="0.2">
      <c r="B201" s="139" t="s">
        <v>158</v>
      </c>
      <c r="C201" s="139"/>
      <c r="D201" s="139"/>
      <c r="E201" s="26">
        <v>121752.4</v>
      </c>
      <c r="F201" s="26"/>
      <c r="G201" s="25">
        <v>8200.34</v>
      </c>
      <c r="H201" s="26"/>
    </row>
    <row r="202" spans="2:10" ht="12" customHeight="1" x14ac:dyDescent="0.2">
      <c r="B202" s="139" t="s">
        <v>159</v>
      </c>
      <c r="C202" s="139"/>
      <c r="D202" s="140"/>
      <c r="E202" s="26">
        <v>0</v>
      </c>
      <c r="F202" s="26"/>
      <c r="G202" s="25">
        <v>34220</v>
      </c>
      <c r="H202" s="26"/>
    </row>
    <row r="203" spans="2:10" x14ac:dyDescent="0.2">
      <c r="B203" s="139" t="s">
        <v>160</v>
      </c>
      <c r="C203" s="139"/>
      <c r="D203" s="139"/>
      <c r="E203" s="19">
        <v>56002.8</v>
      </c>
      <c r="G203" s="25">
        <v>65233.94</v>
      </c>
      <c r="H203" s="31"/>
    </row>
    <row r="204" spans="2:10" x14ac:dyDescent="0.2">
      <c r="B204" s="139" t="s">
        <v>161</v>
      </c>
      <c r="C204" s="139"/>
      <c r="D204" s="139"/>
      <c r="E204" s="141">
        <v>0</v>
      </c>
      <c r="F204" s="30"/>
      <c r="G204" s="25">
        <v>11749.51</v>
      </c>
    </row>
    <row r="205" spans="2:10" x14ac:dyDescent="0.2">
      <c r="B205" s="139" t="s">
        <v>162</v>
      </c>
      <c r="C205" s="139"/>
      <c r="D205" s="139"/>
      <c r="E205" s="141">
        <v>0</v>
      </c>
      <c r="F205" s="30"/>
      <c r="G205" s="142">
        <v>202.5</v>
      </c>
    </row>
    <row r="206" spans="2:10" x14ac:dyDescent="0.2">
      <c r="B206" s="139" t="s">
        <v>163</v>
      </c>
      <c r="C206" s="139"/>
      <c r="D206" s="139"/>
      <c r="E206" s="141"/>
      <c r="F206" s="30"/>
      <c r="G206" s="142">
        <v>68365.23</v>
      </c>
    </row>
    <row r="207" spans="2:10" x14ac:dyDescent="0.2">
      <c r="B207" s="139" t="s">
        <v>164</v>
      </c>
      <c r="C207" s="139"/>
      <c r="D207" s="139"/>
      <c r="E207" s="141">
        <v>1800000</v>
      </c>
      <c r="F207" s="42"/>
      <c r="G207" s="23">
        <v>1750000</v>
      </c>
    </row>
    <row r="208" spans="2:10" x14ac:dyDescent="0.2">
      <c r="B208" s="139" t="s">
        <v>165</v>
      </c>
      <c r="C208" s="139"/>
      <c r="D208" s="139"/>
      <c r="E208" s="141"/>
      <c r="F208" s="30"/>
      <c r="G208" s="23">
        <v>22762.34</v>
      </c>
    </row>
    <row r="209" spans="2:9" x14ac:dyDescent="0.2">
      <c r="B209" s="139" t="s">
        <v>166</v>
      </c>
      <c r="C209" s="139"/>
      <c r="D209" s="139"/>
      <c r="E209" s="26"/>
      <c r="F209" s="31"/>
      <c r="G209" s="23">
        <v>2375.92</v>
      </c>
    </row>
    <row r="210" spans="2:9" x14ac:dyDescent="0.2">
      <c r="B210" s="139" t="s">
        <v>167</v>
      </c>
      <c r="C210" s="139"/>
      <c r="D210" s="139"/>
      <c r="E210" s="26"/>
      <c r="F210" s="31"/>
      <c r="G210" s="35">
        <v>90009.39</v>
      </c>
    </row>
    <row r="211" spans="2:9" x14ac:dyDescent="0.2">
      <c r="B211" s="139" t="s">
        <v>168</v>
      </c>
      <c r="C211" s="139"/>
      <c r="D211" s="139"/>
      <c r="E211" s="26">
        <v>73770.48</v>
      </c>
      <c r="F211" s="31"/>
      <c r="G211" s="35">
        <v>239923.38</v>
      </c>
    </row>
    <row r="212" spans="2:9" x14ac:dyDescent="0.2">
      <c r="B212" s="139" t="s">
        <v>169</v>
      </c>
      <c r="C212" s="139"/>
      <c r="D212" s="139"/>
      <c r="E212" s="26">
        <v>50622</v>
      </c>
      <c r="F212" s="31"/>
      <c r="G212" s="35">
        <v>7876.5</v>
      </c>
    </row>
    <row r="213" spans="2:9" x14ac:dyDescent="0.2">
      <c r="B213" s="139" t="s">
        <v>170</v>
      </c>
      <c r="C213" s="139"/>
      <c r="D213" s="139"/>
      <c r="E213" s="26">
        <v>100675.03</v>
      </c>
      <c r="F213" s="31"/>
      <c r="G213" s="35">
        <v>336852.7</v>
      </c>
    </row>
    <row r="214" spans="2:9" x14ac:dyDescent="0.2">
      <c r="B214" s="139" t="s">
        <v>171</v>
      </c>
      <c r="C214" s="139"/>
      <c r="D214" s="139"/>
      <c r="E214" s="26">
        <v>103501.67</v>
      </c>
      <c r="F214" s="31"/>
      <c r="G214" s="35">
        <v>512.41</v>
      </c>
    </row>
    <row r="215" spans="2:9" x14ac:dyDescent="0.2">
      <c r="B215" s="139" t="s">
        <v>172</v>
      </c>
      <c r="C215" s="139"/>
      <c r="D215" s="139"/>
      <c r="E215" s="26"/>
      <c r="F215" s="31"/>
      <c r="G215" s="35">
        <v>25004.42</v>
      </c>
    </row>
    <row r="216" spans="2:9" x14ac:dyDescent="0.2">
      <c r="B216" s="139" t="s">
        <v>173</v>
      </c>
      <c r="C216" s="139"/>
      <c r="D216" s="139"/>
      <c r="E216" s="26">
        <v>4250.04</v>
      </c>
      <c r="F216" s="31"/>
      <c r="G216" s="35">
        <v>3853.88</v>
      </c>
    </row>
    <row r="217" spans="2:9" x14ac:dyDescent="0.2">
      <c r="B217" s="143" t="s">
        <v>174</v>
      </c>
      <c r="C217" s="143"/>
      <c r="D217" s="143"/>
      <c r="E217" s="113">
        <v>2344374.42</v>
      </c>
      <c r="F217" s="31"/>
      <c r="G217" s="113">
        <v>2781660.23</v>
      </c>
    </row>
    <row r="218" spans="2:9" x14ac:dyDescent="0.2">
      <c r="B218" s="144" t="s">
        <v>175</v>
      </c>
      <c r="C218" s="144"/>
      <c r="D218" s="144"/>
      <c r="E218" s="141">
        <v>660955.84</v>
      </c>
      <c r="F218" s="31"/>
      <c r="G218" s="141">
        <v>202689.61</v>
      </c>
    </row>
    <row r="219" spans="2:9" ht="13.5" thickBot="1" x14ac:dyDescent="0.25">
      <c r="E219" s="29">
        <v>3005330.26</v>
      </c>
      <c r="F219" s="31"/>
      <c r="G219" s="29">
        <v>2984349.84</v>
      </c>
    </row>
    <row r="220" spans="2:9" ht="13.5" thickTop="1" x14ac:dyDescent="0.2">
      <c r="E220" s="27"/>
      <c r="F220" s="31"/>
      <c r="G220" s="27"/>
      <c r="H220" s="20"/>
    </row>
    <row r="221" spans="2:9" s="20" customFormat="1" x14ac:dyDescent="0.2">
      <c r="B221" s="16" t="s">
        <v>176</v>
      </c>
      <c r="C221" s="16"/>
      <c r="D221" s="16"/>
      <c r="E221" s="27"/>
      <c r="F221" s="27"/>
      <c r="G221" s="27"/>
      <c r="I221" s="23"/>
    </row>
    <row r="222" spans="2:9" s="20" customFormat="1" x14ac:dyDescent="0.2">
      <c r="B222" s="145" t="s">
        <v>177</v>
      </c>
      <c r="C222" s="145"/>
      <c r="D222" s="16"/>
      <c r="E222" s="27"/>
      <c r="F222" s="27"/>
      <c r="I222" s="19"/>
    </row>
    <row r="223" spans="2:9" s="20" customFormat="1" x14ac:dyDescent="0.2">
      <c r="B223" s="146" t="s">
        <v>159</v>
      </c>
      <c r="C223" s="146"/>
      <c r="D223" s="147"/>
      <c r="E223" s="23">
        <v>118972.0512</v>
      </c>
      <c r="F223" s="27"/>
      <c r="G223" s="25">
        <v>35403.440900000001</v>
      </c>
      <c r="I223" s="19"/>
    </row>
    <row r="224" spans="2:9" s="20" customFormat="1" x14ac:dyDescent="0.2">
      <c r="B224" s="146" t="s">
        <v>160</v>
      </c>
      <c r="C224" s="146"/>
      <c r="D224" s="147"/>
      <c r="E224" s="23">
        <v>79314.700800000006</v>
      </c>
      <c r="F224" s="27"/>
      <c r="G224" s="25">
        <v>50672.409</v>
      </c>
      <c r="I224" s="19"/>
    </row>
    <row r="225" spans="2:10" s="20" customFormat="1" x14ac:dyDescent="0.2">
      <c r="B225" s="146" t="s">
        <v>163</v>
      </c>
      <c r="C225" s="146"/>
      <c r="D225" s="147"/>
      <c r="E225" s="23">
        <v>52876.467199999999</v>
      </c>
      <c r="F225" s="27"/>
      <c r="G225" s="25">
        <v>12134.380499999999</v>
      </c>
      <c r="I225" s="19"/>
    </row>
    <row r="226" spans="2:10" s="20" customFormat="1" x14ac:dyDescent="0.2">
      <c r="B226" s="146" t="s">
        <v>167</v>
      </c>
      <c r="C226" s="146"/>
      <c r="D226" s="147"/>
      <c r="E226" s="23">
        <v>19828.675200000001</v>
      </c>
      <c r="F226" s="27"/>
      <c r="G226" s="25">
        <v>60806.880499999999</v>
      </c>
      <c r="I226" s="23"/>
    </row>
    <row r="227" spans="2:10" s="20" customFormat="1" x14ac:dyDescent="0.2">
      <c r="B227" s="146" t="s">
        <v>168</v>
      </c>
      <c r="C227" s="146"/>
      <c r="D227" s="147"/>
      <c r="E227" s="23">
        <v>145410.28479999999</v>
      </c>
      <c r="F227" s="24"/>
      <c r="G227" s="85">
        <v>25268.960500000001</v>
      </c>
      <c r="I227" s="23"/>
    </row>
    <row r="228" spans="2:10" s="20" customFormat="1" x14ac:dyDescent="0.2">
      <c r="B228" s="146" t="s">
        <v>169</v>
      </c>
      <c r="C228" s="146"/>
      <c r="D228" s="147"/>
      <c r="E228" s="23">
        <v>218115.42720000001</v>
      </c>
      <c r="F228" s="24"/>
      <c r="G228" s="23">
        <v>18403.540499999999</v>
      </c>
      <c r="I228" s="23"/>
    </row>
    <row r="229" spans="2:10" s="20" customFormat="1" x14ac:dyDescent="0.2">
      <c r="B229" s="148" t="s">
        <v>178</v>
      </c>
      <c r="C229" s="148"/>
      <c r="D229" s="147"/>
      <c r="E229" s="23">
        <v>26438.2336</v>
      </c>
      <c r="F229" s="24"/>
      <c r="G229" s="23">
        <v>0</v>
      </c>
      <c r="I229" s="23"/>
    </row>
    <row r="230" spans="2:10" s="20" customFormat="1" x14ac:dyDescent="0.2">
      <c r="B230" s="147"/>
      <c r="C230" s="147"/>
      <c r="D230" s="147"/>
      <c r="E230" s="149">
        <v>660955.84</v>
      </c>
      <c r="F230" s="24"/>
      <c r="G230" s="149">
        <v>202689.61189999999</v>
      </c>
      <c r="I230" s="23"/>
    </row>
    <row r="231" spans="2:10" s="20" customFormat="1" x14ac:dyDescent="0.2">
      <c r="B231" s="147"/>
      <c r="C231" s="147"/>
      <c r="D231" s="147"/>
      <c r="E231" s="150"/>
      <c r="F231" s="24"/>
      <c r="G231" s="150"/>
      <c r="I231" s="23"/>
    </row>
    <row r="232" spans="2:10" s="20" customFormat="1" x14ac:dyDescent="0.2">
      <c r="B232" s="147"/>
      <c r="C232" s="147"/>
      <c r="D232" s="147"/>
      <c r="E232" s="150"/>
      <c r="F232" s="24"/>
      <c r="G232" s="150"/>
      <c r="I232" s="23"/>
    </row>
    <row r="233" spans="2:10" s="20" customFormat="1" x14ac:dyDescent="0.2">
      <c r="B233" s="147"/>
      <c r="C233" s="147"/>
      <c r="D233" s="147"/>
      <c r="E233" s="150"/>
      <c r="F233" s="24"/>
      <c r="G233" s="150"/>
      <c r="I233" s="23"/>
    </row>
    <row r="234" spans="2:10" x14ac:dyDescent="0.2">
      <c r="B234" s="137" t="s">
        <v>179</v>
      </c>
      <c r="C234" s="137"/>
      <c r="D234" s="137"/>
      <c r="E234" s="137"/>
      <c r="F234" s="137"/>
      <c r="G234" s="137"/>
      <c r="H234" s="137"/>
      <c r="I234" s="15"/>
      <c r="J234" s="20"/>
    </row>
    <row r="235" spans="2:10" ht="14.25" customHeight="1" x14ac:dyDescent="0.2">
      <c r="B235" s="127" t="s">
        <v>180</v>
      </c>
      <c r="C235" s="127"/>
      <c r="D235" s="127"/>
      <c r="E235" s="127"/>
      <c r="F235" s="127"/>
      <c r="G235" s="127"/>
      <c r="H235" s="127"/>
      <c r="I235" s="127"/>
    </row>
    <row r="236" spans="2:10" x14ac:dyDescent="0.2">
      <c r="B236" s="20"/>
      <c r="C236" s="20"/>
      <c r="D236" s="20"/>
      <c r="E236" s="151"/>
      <c r="F236" s="151"/>
      <c r="G236" s="151"/>
      <c r="H236" s="151"/>
      <c r="I236" s="23"/>
      <c r="J236" s="20"/>
    </row>
    <row r="237" spans="2:10" x14ac:dyDescent="0.2">
      <c r="B237" s="21" t="s">
        <v>78</v>
      </c>
      <c r="C237" s="21"/>
      <c r="D237" s="21"/>
      <c r="E237" s="22">
        <v>2023</v>
      </c>
      <c r="F237" s="22"/>
      <c r="G237" s="22">
        <v>2022</v>
      </c>
      <c r="H237" s="22"/>
      <c r="I237" s="23"/>
      <c r="J237" s="20"/>
    </row>
    <row r="238" spans="2:10" x14ac:dyDescent="0.2">
      <c r="B238" s="24" t="s">
        <v>181</v>
      </c>
      <c r="C238" s="24"/>
      <c r="D238" s="24"/>
      <c r="E238" s="25">
        <v>1474664.06</v>
      </c>
      <c r="F238" s="25"/>
      <c r="G238" s="25">
        <v>869491.29</v>
      </c>
      <c r="H238" s="25"/>
      <c r="I238" s="23"/>
      <c r="J238" s="20"/>
    </row>
    <row r="239" spans="2:10" x14ac:dyDescent="0.2">
      <c r="B239" s="24" t="s">
        <v>182</v>
      </c>
      <c r="C239" s="24"/>
      <c r="D239" s="24"/>
      <c r="E239" s="25">
        <v>1575435.38</v>
      </c>
      <c r="F239" s="25"/>
      <c r="G239" s="25">
        <v>713840.21</v>
      </c>
      <c r="H239" s="25"/>
      <c r="I239" s="23"/>
      <c r="J239" s="20"/>
    </row>
    <row r="240" spans="2:10" x14ac:dyDescent="0.2">
      <c r="B240" s="24" t="s">
        <v>183</v>
      </c>
      <c r="C240" s="24"/>
      <c r="D240" s="24"/>
      <c r="E240" s="25">
        <v>166489.72</v>
      </c>
      <c r="F240" s="25"/>
      <c r="G240" s="25">
        <v>164549.78</v>
      </c>
      <c r="H240" s="25"/>
      <c r="I240" s="23"/>
      <c r="J240" s="20"/>
    </row>
    <row r="241" spans="2:10" x14ac:dyDescent="0.2">
      <c r="B241" s="24" t="s">
        <v>184</v>
      </c>
      <c r="C241" s="24"/>
      <c r="D241" s="24"/>
      <c r="E241" s="25">
        <v>410286.94</v>
      </c>
      <c r="F241" s="25"/>
      <c r="G241" s="25">
        <v>416680.64</v>
      </c>
      <c r="H241" s="25"/>
      <c r="I241" s="23"/>
      <c r="J241" s="20"/>
    </row>
    <row r="242" spans="2:10" ht="13.5" thickBot="1" x14ac:dyDescent="0.25">
      <c r="B242" s="92" t="s">
        <v>93</v>
      </c>
      <c r="C242" s="92"/>
      <c r="D242" s="92"/>
      <c r="E242" s="29">
        <v>3626876.1</v>
      </c>
      <c r="F242" s="25"/>
      <c r="G242" s="29">
        <v>2164561.9199999999</v>
      </c>
      <c r="H242" s="25"/>
      <c r="I242" s="23"/>
      <c r="J242" s="20"/>
    </row>
    <row r="243" spans="2:10" ht="13.5" thickTop="1" x14ac:dyDescent="0.2">
      <c r="B243" s="92"/>
      <c r="C243" s="92"/>
      <c r="D243" s="92"/>
      <c r="E243" s="27"/>
      <c r="F243" s="25"/>
      <c r="G243" s="27"/>
      <c r="H243" s="25"/>
      <c r="I243" s="23"/>
      <c r="J243" s="20"/>
    </row>
    <row r="244" spans="2:10" x14ac:dyDescent="0.2">
      <c r="B244" s="92"/>
      <c r="C244" s="92"/>
      <c r="D244" s="92"/>
      <c r="E244" s="27"/>
      <c r="F244" s="25"/>
      <c r="G244" s="27"/>
      <c r="H244" s="25"/>
      <c r="I244" s="23"/>
      <c r="J244" s="20"/>
    </row>
    <row r="245" spans="2:10" x14ac:dyDescent="0.2">
      <c r="B245" s="20"/>
      <c r="C245" s="20"/>
      <c r="D245" s="20"/>
      <c r="E245" s="24"/>
      <c r="F245" s="24"/>
      <c r="G245" s="24"/>
      <c r="H245" s="24"/>
      <c r="I245" s="23"/>
      <c r="J245" s="20"/>
    </row>
    <row r="246" spans="2:10" x14ac:dyDescent="0.2">
      <c r="B246" s="20"/>
      <c r="C246" s="20"/>
      <c r="D246" s="20"/>
      <c r="E246" s="24"/>
      <c r="F246" s="24"/>
      <c r="G246" s="24"/>
      <c r="H246" s="24"/>
      <c r="I246" s="23"/>
      <c r="J246" s="20"/>
    </row>
    <row r="247" spans="2:10" x14ac:dyDescent="0.2">
      <c r="B247" s="20"/>
      <c r="C247" s="20"/>
      <c r="D247" s="20"/>
      <c r="E247" s="24"/>
      <c r="F247" s="24"/>
      <c r="G247" s="24"/>
      <c r="H247" s="24"/>
      <c r="I247" s="23"/>
      <c r="J247" s="20"/>
    </row>
    <row r="248" spans="2:10" x14ac:dyDescent="0.2">
      <c r="B248" s="20"/>
      <c r="C248" s="20"/>
      <c r="D248" s="20"/>
      <c r="E248" s="24"/>
      <c r="F248" s="24"/>
      <c r="G248" s="24"/>
      <c r="H248" s="24"/>
      <c r="I248" s="23"/>
      <c r="J248" s="20"/>
    </row>
    <row r="249" spans="2:10" x14ac:dyDescent="0.2">
      <c r="B249" s="20"/>
      <c r="C249" s="20"/>
      <c r="D249" s="20"/>
      <c r="E249" s="24"/>
      <c r="F249" s="24"/>
      <c r="G249" s="24"/>
      <c r="H249" s="24"/>
      <c r="I249" s="23"/>
      <c r="J249" s="20"/>
    </row>
    <row r="250" spans="2:10" x14ac:dyDescent="0.2">
      <c r="B250" s="20"/>
      <c r="C250" s="20"/>
      <c r="D250" s="20"/>
      <c r="E250" s="24"/>
      <c r="F250" s="24"/>
      <c r="G250" s="24"/>
      <c r="H250" s="24"/>
      <c r="I250" s="23"/>
      <c r="J250" s="20"/>
    </row>
    <row r="251" spans="2:10" x14ac:dyDescent="0.2">
      <c r="B251" s="20"/>
      <c r="C251" s="20"/>
      <c r="D251" s="20"/>
      <c r="E251" s="24"/>
      <c r="F251" s="24"/>
      <c r="G251" s="24"/>
      <c r="H251" s="24"/>
      <c r="I251" s="23"/>
      <c r="J251" s="20"/>
    </row>
    <row r="252" spans="2:10" x14ac:dyDescent="0.2">
      <c r="B252" s="20"/>
      <c r="C252" s="20"/>
      <c r="D252" s="20"/>
      <c r="E252" s="24"/>
      <c r="F252" s="24"/>
      <c r="G252" s="24"/>
      <c r="H252" s="24"/>
      <c r="I252" s="23"/>
      <c r="J252" s="20"/>
    </row>
    <row r="253" spans="2:10" x14ac:dyDescent="0.2">
      <c r="B253" s="20"/>
      <c r="C253" s="20"/>
      <c r="D253" s="20"/>
      <c r="E253" s="24"/>
      <c r="F253" s="24"/>
      <c r="G253" s="24"/>
      <c r="H253" s="24"/>
      <c r="I253" s="23"/>
      <c r="J253" s="20"/>
    </row>
    <row r="254" spans="2:10" x14ac:dyDescent="0.2">
      <c r="B254" s="20"/>
      <c r="C254" s="20"/>
      <c r="D254" s="20"/>
      <c r="E254" s="24"/>
      <c r="F254" s="24"/>
      <c r="G254" s="24"/>
      <c r="H254" s="24"/>
      <c r="I254" s="23"/>
      <c r="J254" s="20"/>
    </row>
    <row r="255" spans="2:10" x14ac:dyDescent="0.2">
      <c r="B255" s="20"/>
      <c r="C255" s="20"/>
      <c r="D255" s="20"/>
      <c r="E255" s="24"/>
      <c r="F255" s="24"/>
      <c r="G255" s="24"/>
      <c r="H255" s="24"/>
      <c r="I255" s="23"/>
      <c r="J255" s="20"/>
    </row>
    <row r="256" spans="2:10" x14ac:dyDescent="0.2">
      <c r="B256" s="20"/>
      <c r="C256" s="20"/>
      <c r="D256" s="20"/>
      <c r="E256" s="24"/>
      <c r="F256" s="24"/>
      <c r="G256" s="24"/>
      <c r="H256" s="24"/>
      <c r="I256" s="23"/>
      <c r="J256" s="20"/>
    </row>
    <row r="257" spans="2:10" x14ac:dyDescent="0.2">
      <c r="B257" s="20"/>
      <c r="C257" s="20"/>
      <c r="D257" s="20"/>
      <c r="E257" s="24"/>
      <c r="F257" s="24"/>
      <c r="G257" s="24"/>
      <c r="H257" s="24"/>
      <c r="I257" s="23"/>
      <c r="J257" s="20"/>
    </row>
    <row r="258" spans="2:10" x14ac:dyDescent="0.2">
      <c r="B258" s="20"/>
      <c r="C258" s="20"/>
      <c r="D258" s="20"/>
      <c r="E258" s="24"/>
      <c r="F258" s="24"/>
      <c r="G258" s="24"/>
      <c r="H258" s="24"/>
      <c r="I258" s="23"/>
      <c r="J258" s="20"/>
    </row>
    <row r="259" spans="2:10" x14ac:dyDescent="0.2">
      <c r="B259" s="20"/>
      <c r="C259" s="20"/>
      <c r="D259" s="20"/>
      <c r="E259" s="24"/>
      <c r="F259" s="24"/>
      <c r="G259" s="24"/>
      <c r="H259" s="24"/>
      <c r="I259" s="23"/>
      <c r="J259" s="20"/>
    </row>
    <row r="260" spans="2:10" x14ac:dyDescent="0.2">
      <c r="B260" s="20"/>
      <c r="C260" s="20"/>
      <c r="D260" s="20"/>
      <c r="E260" s="24"/>
      <c r="F260" s="24"/>
      <c r="G260" s="24"/>
      <c r="H260" s="24"/>
      <c r="I260" s="23"/>
      <c r="J260" s="20"/>
    </row>
    <row r="261" spans="2:10" x14ac:dyDescent="0.2">
      <c r="B261" s="20"/>
      <c r="C261" s="20"/>
      <c r="D261" s="20"/>
      <c r="E261" s="24"/>
      <c r="F261" s="24"/>
      <c r="G261" s="24"/>
      <c r="H261" s="24"/>
      <c r="I261" s="23"/>
      <c r="J261" s="20"/>
    </row>
    <row r="262" spans="2:10" x14ac:dyDescent="0.2">
      <c r="B262" s="20"/>
      <c r="C262" s="20"/>
      <c r="D262" s="20"/>
      <c r="E262" s="24"/>
      <c r="F262" s="24"/>
      <c r="G262" s="24"/>
      <c r="H262" s="24"/>
      <c r="I262" s="23"/>
      <c r="J262" s="20"/>
    </row>
    <row r="263" spans="2:10" x14ac:dyDescent="0.2">
      <c r="B263" s="20"/>
      <c r="C263" s="20"/>
      <c r="D263" s="20"/>
      <c r="E263" s="24"/>
      <c r="F263" s="24"/>
      <c r="G263" s="24"/>
      <c r="H263" s="24"/>
      <c r="I263" s="23"/>
      <c r="J263" s="20"/>
    </row>
    <row r="264" spans="2:10" x14ac:dyDescent="0.2">
      <c r="B264" s="137" t="s">
        <v>185</v>
      </c>
      <c r="C264" s="137"/>
      <c r="D264" s="137"/>
      <c r="E264" s="137"/>
      <c r="F264" s="137"/>
      <c r="G264" s="137"/>
      <c r="H264" s="137"/>
      <c r="I264" s="15"/>
      <c r="J264" s="20"/>
    </row>
    <row r="265" spans="2:10" s="20" customFormat="1" x14ac:dyDescent="0.2">
      <c r="B265" s="16"/>
      <c r="C265" s="16"/>
      <c r="D265" s="16"/>
      <c r="I265" s="23"/>
    </row>
    <row r="266" spans="2:10" ht="20.25" customHeight="1" x14ac:dyDescent="0.2">
      <c r="B266" s="125" t="s">
        <v>186</v>
      </c>
      <c r="C266" s="125"/>
      <c r="D266" s="125"/>
      <c r="E266" s="125"/>
      <c r="F266" s="125"/>
      <c r="G266" s="125"/>
      <c r="H266" s="125"/>
      <c r="I266" s="125"/>
    </row>
    <row r="268" spans="2:10" x14ac:dyDescent="0.2">
      <c r="B268" s="21" t="s">
        <v>78</v>
      </c>
      <c r="C268" s="21"/>
      <c r="D268" s="21"/>
      <c r="E268" s="22">
        <v>2023</v>
      </c>
      <c r="F268" s="22"/>
      <c r="G268" s="22">
        <v>2022</v>
      </c>
      <c r="H268" s="22"/>
    </row>
    <row r="269" spans="2:10" x14ac:dyDescent="0.2">
      <c r="B269" s="30" t="s">
        <v>187</v>
      </c>
      <c r="C269" s="30"/>
      <c r="D269" s="30"/>
      <c r="E269" s="26">
        <v>704873.28</v>
      </c>
      <c r="F269" s="26"/>
      <c r="G269" s="26">
        <v>526519.68999999994</v>
      </c>
      <c r="H269" s="26"/>
    </row>
    <row r="270" spans="2:10" x14ac:dyDescent="0.2">
      <c r="B270" s="30" t="s">
        <v>188</v>
      </c>
      <c r="C270" s="30"/>
      <c r="D270" s="30"/>
      <c r="E270" s="26">
        <v>277791.56</v>
      </c>
      <c r="F270" s="26"/>
      <c r="G270" s="26">
        <v>315461.40999999997</v>
      </c>
      <c r="H270" s="26"/>
    </row>
    <row r="271" spans="2:10" x14ac:dyDescent="0.2">
      <c r="B271" s="30" t="s">
        <v>189</v>
      </c>
      <c r="C271" s="30"/>
      <c r="D271" s="30"/>
      <c r="E271" s="26">
        <v>550669.82999999996</v>
      </c>
      <c r="F271" s="26"/>
      <c r="G271" s="26">
        <v>476116.54</v>
      </c>
      <c r="H271" s="26"/>
    </row>
    <row r="272" spans="2:10" x14ac:dyDescent="0.2">
      <c r="B272" s="30" t="s">
        <v>190</v>
      </c>
      <c r="C272" s="30"/>
      <c r="D272" s="30"/>
      <c r="E272" s="26">
        <v>44686.6</v>
      </c>
      <c r="F272" s="26"/>
      <c r="G272" s="26">
        <v>109799</v>
      </c>
      <c r="H272" s="26"/>
    </row>
    <row r="273" spans="2:9" x14ac:dyDescent="0.2">
      <c r="B273" s="30" t="s">
        <v>191</v>
      </c>
      <c r="C273" s="30"/>
      <c r="D273" s="30"/>
      <c r="E273" s="26">
        <v>334050</v>
      </c>
      <c r="F273" s="26"/>
      <c r="G273" s="26">
        <v>161550</v>
      </c>
      <c r="H273" s="26"/>
    </row>
    <row r="274" spans="2:9" x14ac:dyDescent="0.2">
      <c r="B274" s="30" t="s">
        <v>192</v>
      </c>
      <c r="C274" s="30"/>
      <c r="D274" s="30"/>
      <c r="E274" s="26">
        <v>2231910.17</v>
      </c>
      <c r="F274" s="26"/>
      <c r="G274" s="26">
        <v>2135628.7400000002</v>
      </c>
      <c r="H274" s="26"/>
    </row>
    <row r="275" spans="2:9" x14ac:dyDescent="0.2">
      <c r="B275" s="30" t="s">
        <v>193</v>
      </c>
      <c r="C275" s="30"/>
      <c r="D275" s="30"/>
      <c r="E275" s="26">
        <v>170000</v>
      </c>
      <c r="F275" s="26"/>
      <c r="G275" s="26">
        <v>205320</v>
      </c>
      <c r="H275" s="26"/>
    </row>
    <row r="276" spans="2:9" x14ac:dyDescent="0.2">
      <c r="B276" s="30" t="s">
        <v>194</v>
      </c>
      <c r="C276" s="30"/>
      <c r="D276" s="30"/>
      <c r="E276" s="26">
        <v>333044.46999999997</v>
      </c>
      <c r="F276" s="26"/>
      <c r="G276" s="26">
        <v>285443.34000000003</v>
      </c>
      <c r="H276" s="26"/>
    </row>
    <row r="277" spans="2:9" x14ac:dyDescent="0.2">
      <c r="B277" s="30" t="s">
        <v>195</v>
      </c>
      <c r="C277" s="30"/>
      <c r="D277" s="30"/>
      <c r="E277" s="26">
        <v>582894.68999999994</v>
      </c>
      <c r="F277" s="26"/>
      <c r="G277" s="26">
        <v>812147.47</v>
      </c>
      <c r="H277" s="26"/>
    </row>
    <row r="278" spans="2:9" x14ac:dyDescent="0.2">
      <c r="B278" s="134" t="s">
        <v>196</v>
      </c>
      <c r="C278" s="134"/>
      <c r="D278" s="134"/>
      <c r="E278" s="26">
        <v>1450414.2</v>
      </c>
      <c r="F278" s="26"/>
      <c r="G278" s="19">
        <v>1274276.33</v>
      </c>
      <c r="H278" s="26"/>
    </row>
    <row r="279" spans="2:9" x14ac:dyDescent="0.2">
      <c r="B279" s="134" t="s">
        <v>197</v>
      </c>
      <c r="C279" s="134"/>
      <c r="D279" s="134"/>
      <c r="E279" s="26">
        <v>0</v>
      </c>
      <c r="F279" s="26"/>
      <c r="G279" s="26">
        <v>83296.14</v>
      </c>
      <c r="H279" s="26"/>
    </row>
    <row r="280" spans="2:9" x14ac:dyDescent="0.2">
      <c r="B280" s="30" t="s">
        <v>198</v>
      </c>
      <c r="C280" s="30"/>
      <c r="D280" s="30"/>
      <c r="E280" s="19">
        <v>87352.01</v>
      </c>
      <c r="F280" s="26"/>
      <c r="G280" s="26">
        <v>555410.66</v>
      </c>
      <c r="H280" s="26"/>
    </row>
    <row r="281" spans="2:9" x14ac:dyDescent="0.2">
      <c r="B281" s="152" t="s">
        <v>199</v>
      </c>
      <c r="C281" s="152"/>
      <c r="D281" s="152"/>
      <c r="E281" s="26">
        <v>745527.51</v>
      </c>
      <c r="F281" s="26"/>
      <c r="G281" s="26">
        <v>85292.800000000003</v>
      </c>
      <c r="H281" s="26"/>
    </row>
    <row r="282" spans="2:9" x14ac:dyDescent="0.2">
      <c r="B282" s="30" t="s">
        <v>200</v>
      </c>
      <c r="C282" s="30"/>
      <c r="D282" s="30"/>
      <c r="E282" s="26">
        <v>44840</v>
      </c>
      <c r="F282" s="26"/>
      <c r="G282" s="26">
        <v>44840</v>
      </c>
      <c r="H282" s="26"/>
    </row>
    <row r="283" spans="2:9" x14ac:dyDescent="0.2">
      <c r="B283" s="30" t="s">
        <v>201</v>
      </c>
      <c r="C283" s="30"/>
      <c r="D283" s="30"/>
      <c r="E283" s="26">
        <v>82600</v>
      </c>
      <c r="F283" s="26"/>
      <c r="G283" s="26">
        <v>57277</v>
      </c>
      <c r="H283" s="26"/>
    </row>
    <row r="284" spans="2:9" x14ac:dyDescent="0.2">
      <c r="B284" s="30" t="s">
        <v>202</v>
      </c>
      <c r="C284" s="30"/>
      <c r="D284" s="30"/>
      <c r="E284" s="26">
        <v>73514</v>
      </c>
      <c r="F284" s="26"/>
      <c r="G284" s="26">
        <v>47620</v>
      </c>
      <c r="H284" s="26"/>
    </row>
    <row r="285" spans="2:9" x14ac:dyDescent="0.2">
      <c r="B285" s="30" t="s">
        <v>203</v>
      </c>
      <c r="C285" s="30"/>
      <c r="D285" s="30"/>
      <c r="E285" s="26">
        <v>41000</v>
      </c>
      <c r="F285" s="26"/>
      <c r="G285" s="26">
        <v>199920.38</v>
      </c>
      <c r="H285" s="26"/>
    </row>
    <row r="286" spans="2:9" x14ac:dyDescent="0.2">
      <c r="B286" s="30" t="s">
        <v>204</v>
      </c>
      <c r="C286" s="30"/>
      <c r="D286" s="30"/>
      <c r="E286" s="26">
        <v>179021252.88999999</v>
      </c>
      <c r="F286" s="26"/>
      <c r="G286" s="26">
        <v>53690267.82</v>
      </c>
      <c r="H286" s="26"/>
    </row>
    <row r="287" spans="2:9" x14ac:dyDescent="0.2">
      <c r="B287" s="30" t="s">
        <v>205</v>
      </c>
      <c r="C287" s="30"/>
      <c r="D287" s="30"/>
      <c r="E287" s="26">
        <v>196404.63</v>
      </c>
      <c r="F287" s="26"/>
      <c r="G287" s="26">
        <v>145909.35999999999</v>
      </c>
      <c r="H287" s="26"/>
    </row>
    <row r="288" spans="2:9" x14ac:dyDescent="0.2">
      <c r="B288" s="30" t="s">
        <v>206</v>
      </c>
      <c r="C288" s="30"/>
      <c r="D288" s="30"/>
      <c r="E288" s="19">
        <v>10500</v>
      </c>
      <c r="G288" s="26">
        <v>7500</v>
      </c>
      <c r="I288" s="17"/>
    </row>
    <row r="289" spans="2:11" ht="13.5" thickBot="1" x14ac:dyDescent="0.25">
      <c r="B289" s="42" t="s">
        <v>93</v>
      </c>
      <c r="C289" s="42"/>
      <c r="D289" s="42"/>
      <c r="E289" s="29">
        <v>186983325.84</v>
      </c>
      <c r="F289" s="27"/>
      <c r="G289" s="29">
        <v>61219596.68</v>
      </c>
      <c r="H289" s="31"/>
    </row>
    <row r="290" spans="2:11" ht="13.5" thickTop="1" x14ac:dyDescent="0.2">
      <c r="E290" s="153"/>
      <c r="F290" s="30"/>
      <c r="G290" s="30"/>
      <c r="H290" s="30"/>
      <c r="K290" s="20"/>
    </row>
    <row r="291" spans="2:11" s="20" customFormat="1" x14ac:dyDescent="0.2">
      <c r="E291" s="94"/>
      <c r="F291" s="17"/>
      <c r="G291" s="17"/>
      <c r="H291" s="17"/>
      <c r="I291" s="19"/>
    </row>
    <row r="292" spans="2:11" s="20" customFormat="1" x14ac:dyDescent="0.2">
      <c r="E292" s="94"/>
      <c r="F292" s="17"/>
      <c r="G292" s="17"/>
      <c r="H292" s="17"/>
      <c r="I292" s="19"/>
    </row>
    <row r="293" spans="2:11" s="20" customFormat="1" x14ac:dyDescent="0.2">
      <c r="E293" s="154"/>
      <c r="I293" s="23"/>
    </row>
    <row r="294" spans="2:11" s="20" customFormat="1" x14ac:dyDescent="0.2">
      <c r="E294" s="22">
        <v>2023</v>
      </c>
      <c r="F294" s="22"/>
      <c r="G294" s="22">
        <v>2022</v>
      </c>
      <c r="I294" s="23"/>
      <c r="K294" s="23"/>
    </row>
    <row r="295" spans="2:11" s="20" customFormat="1" ht="13.5" thickBot="1" x14ac:dyDescent="0.25">
      <c r="E295" s="155"/>
      <c r="F295" s="24"/>
      <c r="G295" s="155"/>
      <c r="I295" s="23"/>
      <c r="K295" s="23"/>
    </row>
    <row r="296" spans="2:11" s="20" customFormat="1" ht="13.5" thickTop="1" x14ac:dyDescent="0.2">
      <c r="B296" s="16" t="s">
        <v>207</v>
      </c>
      <c r="C296" s="16"/>
      <c r="D296" s="16"/>
      <c r="E296" s="156">
        <v>264248736.94</v>
      </c>
      <c r="F296" s="92"/>
      <c r="G296" s="156">
        <v>129680189.63</v>
      </c>
      <c r="H296" s="16"/>
      <c r="I296" s="23"/>
      <c r="K296" s="23"/>
    </row>
    <row r="297" spans="2:11" s="20" customFormat="1" x14ac:dyDescent="0.2">
      <c r="E297" s="157"/>
      <c r="I297" s="23"/>
    </row>
    <row r="298" spans="2:11" x14ac:dyDescent="0.2">
      <c r="E298" s="19"/>
      <c r="G298" s="40"/>
      <c r="K298" s="20"/>
    </row>
    <row r="299" spans="2:11" x14ac:dyDescent="0.2">
      <c r="E299" s="19">
        <f>+'[1]Estado de Situación'!C37</f>
        <v>0</v>
      </c>
      <c r="G299" s="40"/>
      <c r="H299" s="40"/>
    </row>
    <row r="300" spans="2:11" x14ac:dyDescent="0.2">
      <c r="E300" s="19"/>
      <c r="G300" s="40"/>
    </row>
    <row r="301" spans="2:11" x14ac:dyDescent="0.2">
      <c r="E301" s="19"/>
    </row>
    <row r="302" spans="2:11" x14ac:dyDescent="0.2">
      <c r="E302" s="19"/>
    </row>
    <row r="303" spans="2:11" x14ac:dyDescent="0.2">
      <c r="E303" s="19"/>
      <c r="G303" s="40"/>
    </row>
    <row r="304" spans="2:11" x14ac:dyDescent="0.2">
      <c r="E304" s="19"/>
    </row>
    <row r="305" spans="5:5" x14ac:dyDescent="0.2">
      <c r="E305" s="19"/>
    </row>
  </sheetData>
  <mergeCells count="77">
    <mergeCell ref="B229:C229"/>
    <mergeCell ref="B234:H234"/>
    <mergeCell ref="B235:I235"/>
    <mergeCell ref="B264:H264"/>
    <mergeCell ref="B266:I266"/>
    <mergeCell ref="B223:C223"/>
    <mergeCell ref="B224:C224"/>
    <mergeCell ref="B225:C225"/>
    <mergeCell ref="B226:C226"/>
    <mergeCell ref="B227:C227"/>
    <mergeCell ref="B228:C228"/>
    <mergeCell ref="B214:D214"/>
    <mergeCell ref="B215:D215"/>
    <mergeCell ref="B216:D216"/>
    <mergeCell ref="B217:D217"/>
    <mergeCell ref="B218:D218"/>
    <mergeCell ref="B222:C222"/>
    <mergeCell ref="B208:D208"/>
    <mergeCell ref="B209:D209"/>
    <mergeCell ref="B210:D210"/>
    <mergeCell ref="B211:D211"/>
    <mergeCell ref="B212:D212"/>
    <mergeCell ref="B213:D213"/>
    <mergeCell ref="B202:C202"/>
    <mergeCell ref="B203:D203"/>
    <mergeCell ref="B204:D204"/>
    <mergeCell ref="B205:D205"/>
    <mergeCell ref="B206:D206"/>
    <mergeCell ref="B207:D207"/>
    <mergeCell ref="B175:I175"/>
    <mergeCell ref="B177:G177"/>
    <mergeCell ref="B197:H197"/>
    <mergeCell ref="B198:G198"/>
    <mergeCell ref="B200:D200"/>
    <mergeCell ref="B201:D201"/>
    <mergeCell ref="B163:D163"/>
    <mergeCell ref="B164:D164"/>
    <mergeCell ref="B165:D165"/>
    <mergeCell ref="B166:D166"/>
    <mergeCell ref="B167:D167"/>
    <mergeCell ref="B168:D168"/>
    <mergeCell ref="B157:D157"/>
    <mergeCell ref="B158:D158"/>
    <mergeCell ref="B159:D159"/>
    <mergeCell ref="B160:D160"/>
    <mergeCell ref="B161:D161"/>
    <mergeCell ref="B162:D162"/>
    <mergeCell ref="B110:D110"/>
    <mergeCell ref="B112:I112"/>
    <mergeCell ref="B113:I113"/>
    <mergeCell ref="B118:I118"/>
    <mergeCell ref="B153:G153"/>
    <mergeCell ref="B156:D156"/>
    <mergeCell ref="B103:D103"/>
    <mergeCell ref="B104:D104"/>
    <mergeCell ref="B105:D105"/>
    <mergeCell ref="B107:D107"/>
    <mergeCell ref="B108:D108"/>
    <mergeCell ref="B109:D109"/>
    <mergeCell ref="B54:C54"/>
    <mergeCell ref="B56:C56"/>
    <mergeCell ref="B57:C57"/>
    <mergeCell ref="B58:C58"/>
    <mergeCell ref="B59:C59"/>
    <mergeCell ref="B71:J71"/>
    <mergeCell ref="B41:C41"/>
    <mergeCell ref="B42:C42"/>
    <mergeCell ref="B44:C44"/>
    <mergeCell ref="B51:C51"/>
    <mergeCell ref="B52:C52"/>
    <mergeCell ref="B53:C53"/>
    <mergeCell ref="B4:G4"/>
    <mergeCell ref="B18:D18"/>
    <mergeCell ref="B19:D19"/>
    <mergeCell ref="B20:D20"/>
    <mergeCell ref="B21:D21"/>
    <mergeCell ref="B40:C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7BE7E-DD50-45C0-9147-6A85BAA130D9}">
  <dimension ref="A1:T300"/>
  <sheetViews>
    <sheetView showGridLines="0" topLeftCell="B1" zoomScale="64" zoomScaleNormal="64" workbookViewId="0">
      <selection activeCell="F27" sqref="F27"/>
    </sheetView>
  </sheetViews>
  <sheetFormatPr baseColWidth="10" defaultColWidth="11.42578125" defaultRowHeight="15" x14ac:dyDescent="0.25"/>
  <cols>
    <col min="1" max="1" width="7.28515625" style="164" customWidth="1"/>
    <col min="2" max="2" width="11.85546875" style="158" customWidth="1"/>
    <col min="3" max="4" width="21.140625" style="164" customWidth="1"/>
    <col min="5" max="5" width="28.85546875" style="164" customWidth="1"/>
    <col min="6" max="6" width="79.140625" style="164" customWidth="1"/>
    <col min="7" max="7" width="25.7109375" style="236" customWidth="1"/>
    <col min="8" max="8" width="25.7109375" style="185" customWidth="1"/>
    <col min="9" max="9" width="20.5703125" style="162" bestFit="1" customWidth="1"/>
    <col min="10" max="10" width="24" style="163" hidden="1" customWidth="1"/>
    <col min="11" max="11" width="23" style="164" hidden="1" customWidth="1"/>
    <col min="12" max="12" width="22.28515625" style="164" hidden="1" customWidth="1"/>
    <col min="13" max="13" width="22.85546875" style="164" hidden="1" customWidth="1"/>
    <col min="14" max="14" width="19.140625" style="165" hidden="1" customWidth="1"/>
    <col min="15" max="15" width="16.7109375" style="165" hidden="1" customWidth="1"/>
    <col min="16" max="16" width="28.42578125" style="164" hidden="1" customWidth="1"/>
    <col min="17" max="17" width="30.7109375" style="164" hidden="1" customWidth="1"/>
    <col min="18" max="18" width="22.28515625" style="164" hidden="1" customWidth="1"/>
    <col min="19" max="19" width="15.7109375" style="164" hidden="1" customWidth="1"/>
    <col min="20" max="16384" width="11.42578125" style="164"/>
  </cols>
  <sheetData>
    <row r="1" spans="2:19" ht="28.5" x14ac:dyDescent="0.45">
      <c r="C1" s="159"/>
      <c r="D1" s="159"/>
      <c r="E1" s="159"/>
      <c r="F1" s="159"/>
      <c r="G1" s="160"/>
      <c r="H1" s="161"/>
    </row>
    <row r="2" spans="2:19" ht="28.5" x14ac:dyDescent="0.45">
      <c r="C2" s="159"/>
      <c r="D2" s="159"/>
      <c r="E2" s="159"/>
      <c r="F2" s="159"/>
      <c r="G2" s="160"/>
      <c r="H2" s="161"/>
    </row>
    <row r="3" spans="2:19" ht="23.25" x14ac:dyDescent="0.35">
      <c r="B3" s="166" t="s">
        <v>208</v>
      </c>
      <c r="C3" s="166"/>
      <c r="D3" s="166"/>
      <c r="E3" s="166"/>
      <c r="F3" s="166"/>
      <c r="G3" s="166"/>
      <c r="H3" s="166"/>
      <c r="I3" s="166"/>
      <c r="J3" s="166"/>
      <c r="K3" s="166"/>
      <c r="L3" s="166"/>
      <c r="M3" s="166"/>
      <c r="N3" s="166"/>
      <c r="O3" s="166"/>
      <c r="P3" s="166"/>
      <c r="Q3" s="166"/>
      <c r="R3" s="167"/>
    </row>
    <row r="4" spans="2:19" ht="23.25" x14ac:dyDescent="0.35">
      <c r="B4" s="168" t="s">
        <v>209</v>
      </c>
      <c r="C4" s="168"/>
      <c r="D4" s="168"/>
      <c r="E4" s="168"/>
      <c r="F4" s="168"/>
      <c r="G4" s="168"/>
      <c r="H4" s="168"/>
      <c r="I4" s="168"/>
      <c r="J4" s="168"/>
      <c r="K4" s="168"/>
      <c r="L4" s="168"/>
      <c r="M4" s="168"/>
      <c r="N4" s="168"/>
      <c r="O4" s="168"/>
      <c r="P4" s="168"/>
      <c r="Q4" s="168"/>
      <c r="R4" s="167"/>
    </row>
    <row r="5" spans="2:19" ht="23.25" x14ac:dyDescent="0.35">
      <c r="B5" s="168" t="s">
        <v>210</v>
      </c>
      <c r="C5" s="168"/>
      <c r="D5" s="168"/>
      <c r="E5" s="168"/>
      <c r="F5" s="168"/>
      <c r="G5" s="168"/>
      <c r="H5" s="168"/>
      <c r="I5" s="168"/>
      <c r="J5" s="168"/>
      <c r="K5" s="168"/>
      <c r="L5" s="168"/>
      <c r="M5" s="168"/>
      <c r="N5" s="168"/>
      <c r="O5" s="168"/>
      <c r="P5" s="168"/>
      <c r="Q5" s="168"/>
      <c r="R5" s="167"/>
    </row>
    <row r="6" spans="2:19" ht="23.25" x14ac:dyDescent="0.35">
      <c r="B6" s="166" t="s">
        <v>211</v>
      </c>
      <c r="C6" s="166"/>
      <c r="D6" s="166"/>
      <c r="E6" s="166"/>
      <c r="F6" s="166"/>
      <c r="G6" s="166"/>
      <c r="H6" s="166"/>
      <c r="I6" s="166"/>
      <c r="J6" s="166"/>
      <c r="K6" s="166"/>
      <c r="L6" s="166"/>
      <c r="M6" s="166"/>
      <c r="N6" s="166"/>
      <c r="O6" s="166"/>
      <c r="P6" s="166"/>
      <c r="Q6" s="166"/>
      <c r="R6" s="167"/>
    </row>
    <row r="7" spans="2:19" ht="31.5" x14ac:dyDescent="0.5">
      <c r="B7" s="169" t="s">
        <v>212</v>
      </c>
      <c r="C7" s="169"/>
      <c r="D7" s="169"/>
      <c r="E7" s="169"/>
      <c r="F7" s="169"/>
      <c r="G7" s="169"/>
      <c r="H7" s="169"/>
      <c r="I7" s="169"/>
      <c r="J7" s="169"/>
      <c r="K7" s="169"/>
      <c r="L7" s="169"/>
      <c r="M7" s="169"/>
      <c r="N7" s="169"/>
      <c r="O7" s="169"/>
      <c r="P7" s="169"/>
      <c r="Q7" s="169"/>
      <c r="R7" s="167"/>
    </row>
    <row r="8" spans="2:19" s="162" customFormat="1" ht="20.25" x14ac:dyDescent="0.3">
      <c r="B8" s="170" t="s">
        <v>213</v>
      </c>
      <c r="C8" s="171" t="s">
        <v>214</v>
      </c>
      <c r="D8" s="171" t="s">
        <v>215</v>
      </c>
      <c r="E8" s="171" t="s">
        <v>216</v>
      </c>
      <c r="F8" s="171" t="s">
        <v>217</v>
      </c>
      <c r="G8" s="171" t="s">
        <v>218</v>
      </c>
      <c r="H8" s="171" t="s">
        <v>219</v>
      </c>
      <c r="I8" s="172" t="s">
        <v>220</v>
      </c>
      <c r="J8" s="173" t="s">
        <v>221</v>
      </c>
      <c r="K8" s="173" t="s">
        <v>222</v>
      </c>
      <c r="L8" s="173" t="s">
        <v>223</v>
      </c>
      <c r="M8" s="173" t="s">
        <v>224</v>
      </c>
      <c r="N8" s="174" t="s">
        <v>225</v>
      </c>
      <c r="O8" s="174" t="s">
        <v>226</v>
      </c>
      <c r="P8" s="173" t="s">
        <v>218</v>
      </c>
      <c r="Q8" s="173" t="s">
        <v>219</v>
      </c>
      <c r="R8" s="173" t="s">
        <v>227</v>
      </c>
    </row>
    <row r="9" spans="2:19" s="185" customFormat="1" ht="20.25" x14ac:dyDescent="0.3">
      <c r="B9" s="175">
        <v>1</v>
      </c>
      <c r="C9" s="176">
        <v>43252</v>
      </c>
      <c r="D9" s="176">
        <v>43252</v>
      </c>
      <c r="E9" s="177" t="s">
        <v>228</v>
      </c>
      <c r="F9" s="177" t="s">
        <v>229</v>
      </c>
      <c r="G9" s="178">
        <v>2</v>
      </c>
      <c r="H9" s="179">
        <v>2556.6666666666601</v>
      </c>
      <c r="I9" s="175" t="s">
        <v>230</v>
      </c>
      <c r="J9" s="180">
        <v>9</v>
      </c>
      <c r="K9" s="181">
        <v>1083.3333333333301</v>
      </c>
      <c r="L9" s="181">
        <f t="shared" ref="L9:L19" si="0">+K9*18%</f>
        <v>194.9999999999994</v>
      </c>
      <c r="M9" s="181">
        <f t="shared" ref="M9:M21" si="1">+K9+L9</f>
        <v>1278.3333333333294</v>
      </c>
      <c r="N9" s="182">
        <f t="shared" ref="N9:N72" si="2">$J9*$M9</f>
        <v>11504.999999999964</v>
      </c>
      <c r="O9" s="182">
        <f>1+1+1+1+1+1+1</f>
        <v>7</v>
      </c>
      <c r="P9" s="181">
        <f>$J9-$O9</f>
        <v>2</v>
      </c>
      <c r="Q9" s="181">
        <f t="shared" ref="Q9:Q56" si="3">$P9*$M9</f>
        <v>2556.6666666666588</v>
      </c>
      <c r="R9" s="183"/>
      <c r="S9" s="184">
        <f>Q9/P9</f>
        <v>1278.3333333333294</v>
      </c>
    </row>
    <row r="10" spans="2:19" s="185" customFormat="1" ht="20.25" x14ac:dyDescent="0.3">
      <c r="B10" s="175">
        <v>2</v>
      </c>
      <c r="C10" s="176">
        <v>43609</v>
      </c>
      <c r="D10" s="176">
        <v>43609</v>
      </c>
      <c r="E10" s="177" t="s">
        <v>231</v>
      </c>
      <c r="F10" s="177" t="s">
        <v>232</v>
      </c>
      <c r="G10" s="178">
        <v>5</v>
      </c>
      <c r="H10" s="179">
        <v>2655</v>
      </c>
      <c r="I10" s="175" t="s">
        <v>230</v>
      </c>
      <c r="J10" s="180">
        <v>5</v>
      </c>
      <c r="K10" s="181">
        <v>450</v>
      </c>
      <c r="L10" s="181">
        <f>+K10*18%</f>
        <v>81</v>
      </c>
      <c r="M10" s="181">
        <f>+K10+L10</f>
        <v>531</v>
      </c>
      <c r="N10" s="182">
        <f>$J10*$M10</f>
        <v>2655</v>
      </c>
      <c r="O10" s="182">
        <v>0</v>
      </c>
      <c r="P10" s="181">
        <f>$J10-$O10</f>
        <v>5</v>
      </c>
      <c r="Q10" s="181">
        <f>$P10*$M10</f>
        <v>2655</v>
      </c>
      <c r="R10" s="183" t="s">
        <v>233</v>
      </c>
      <c r="S10" s="184">
        <f>Q10/P10</f>
        <v>531</v>
      </c>
    </row>
    <row r="11" spans="2:19" s="185" customFormat="1" ht="20.25" x14ac:dyDescent="0.3">
      <c r="B11" s="175">
        <v>3</v>
      </c>
      <c r="C11" s="176">
        <v>43252</v>
      </c>
      <c r="D11" s="176">
        <v>43252</v>
      </c>
      <c r="E11" s="177" t="s">
        <v>234</v>
      </c>
      <c r="F11" s="177" t="s">
        <v>235</v>
      </c>
      <c r="G11" s="178">
        <v>4</v>
      </c>
      <c r="H11" s="179">
        <v>2124</v>
      </c>
      <c r="I11" s="175" t="s">
        <v>230</v>
      </c>
      <c r="J11" s="180">
        <v>5</v>
      </c>
      <c r="K11" s="181">
        <v>450</v>
      </c>
      <c r="L11" s="181">
        <f>+K11*18%</f>
        <v>81</v>
      </c>
      <c r="M11" s="181">
        <f>+K11+L11</f>
        <v>531</v>
      </c>
      <c r="N11" s="182">
        <f>$J11*$M11</f>
        <v>2655</v>
      </c>
      <c r="O11" s="182">
        <v>1</v>
      </c>
      <c r="P11" s="181">
        <f>$J11-$O11</f>
        <v>4</v>
      </c>
      <c r="Q11" s="181">
        <f>$P11*$M11</f>
        <v>2124</v>
      </c>
      <c r="S11" s="184">
        <f>Q11/P11</f>
        <v>531</v>
      </c>
    </row>
    <row r="12" spans="2:19" s="185" customFormat="1" ht="21.75" customHeight="1" x14ac:dyDescent="0.3">
      <c r="B12" s="175">
        <v>4</v>
      </c>
      <c r="C12" s="176" t="s">
        <v>236</v>
      </c>
      <c r="D12" s="176">
        <v>44162</v>
      </c>
      <c r="E12" s="177" t="s">
        <v>237</v>
      </c>
      <c r="F12" s="177" t="s">
        <v>238</v>
      </c>
      <c r="G12" s="178">
        <v>68</v>
      </c>
      <c r="H12" s="179">
        <v>401.2</v>
      </c>
      <c r="I12" s="175" t="s">
        <v>230</v>
      </c>
      <c r="J12" s="186">
        <v>90</v>
      </c>
      <c r="K12" s="181">
        <v>5</v>
      </c>
      <c r="L12" s="181">
        <f t="shared" si="0"/>
        <v>0.89999999999999991</v>
      </c>
      <c r="M12" s="181">
        <f t="shared" si="1"/>
        <v>5.9</v>
      </c>
      <c r="N12" s="182">
        <f t="shared" si="2"/>
        <v>531</v>
      </c>
      <c r="O12" s="182">
        <f>2+1+1+1+1+1+2+2+2+5+1+3</f>
        <v>22</v>
      </c>
      <c r="P12" s="181">
        <f t="shared" ref="P12:P41" si="4">$J12-$O12</f>
        <v>68</v>
      </c>
      <c r="Q12" s="181">
        <f t="shared" si="3"/>
        <v>401.20000000000005</v>
      </c>
      <c r="R12" s="183" t="s">
        <v>239</v>
      </c>
    </row>
    <row r="13" spans="2:19" s="185" customFormat="1" ht="20.25" x14ac:dyDescent="0.3">
      <c r="B13" s="175">
        <v>5</v>
      </c>
      <c r="C13" s="176">
        <v>43609</v>
      </c>
      <c r="D13" s="176">
        <v>43609</v>
      </c>
      <c r="E13" s="177" t="s">
        <v>240</v>
      </c>
      <c r="F13" s="187" t="s">
        <v>241</v>
      </c>
      <c r="G13" s="178">
        <v>25</v>
      </c>
      <c r="H13" s="179">
        <v>5015</v>
      </c>
      <c r="I13" s="175" t="s">
        <v>230</v>
      </c>
      <c r="J13" s="180">
        <v>20</v>
      </c>
      <c r="K13" s="181">
        <v>250</v>
      </c>
      <c r="L13" s="181">
        <f t="shared" si="0"/>
        <v>45</v>
      </c>
      <c r="M13" s="181">
        <f t="shared" si="1"/>
        <v>295</v>
      </c>
      <c r="N13" s="182">
        <f t="shared" si="2"/>
        <v>5900</v>
      </c>
      <c r="O13" s="182">
        <v>3</v>
      </c>
      <c r="P13" s="181">
        <f t="shared" si="4"/>
        <v>17</v>
      </c>
      <c r="Q13" s="181">
        <f t="shared" si="3"/>
        <v>5015</v>
      </c>
      <c r="R13" s="183" t="s">
        <v>233</v>
      </c>
      <c r="S13" s="184">
        <f>Q13/P13</f>
        <v>295</v>
      </c>
    </row>
    <row r="14" spans="2:19" s="185" customFormat="1" ht="20.25" x14ac:dyDescent="0.3">
      <c r="B14" s="175">
        <v>6</v>
      </c>
      <c r="C14" s="176">
        <v>44162</v>
      </c>
      <c r="D14" s="176">
        <v>44162</v>
      </c>
      <c r="E14" s="177" t="s">
        <v>242</v>
      </c>
      <c r="F14" s="177" t="s">
        <v>243</v>
      </c>
      <c r="G14" s="178">
        <v>58</v>
      </c>
      <c r="H14" s="179">
        <v>2737.6</v>
      </c>
      <c r="I14" s="175" t="s">
        <v>230</v>
      </c>
      <c r="J14" s="180">
        <v>62</v>
      </c>
      <c r="K14" s="181">
        <v>40</v>
      </c>
      <c r="L14" s="181">
        <f t="shared" si="0"/>
        <v>7.1999999999999993</v>
      </c>
      <c r="M14" s="181">
        <f t="shared" si="1"/>
        <v>47.2</v>
      </c>
      <c r="N14" s="182">
        <f t="shared" si="2"/>
        <v>2926.4</v>
      </c>
      <c r="O14" s="182">
        <f>3+1</f>
        <v>4</v>
      </c>
      <c r="P14" s="181">
        <f t="shared" si="4"/>
        <v>58</v>
      </c>
      <c r="Q14" s="181">
        <f t="shared" si="3"/>
        <v>2737.6000000000004</v>
      </c>
      <c r="R14" s="181"/>
      <c r="S14" s="184">
        <f>Q14/P14</f>
        <v>47.2</v>
      </c>
    </row>
    <row r="15" spans="2:19" s="185" customFormat="1" ht="20.25" x14ac:dyDescent="0.3">
      <c r="B15" s="175">
        <v>7</v>
      </c>
      <c r="C15" s="176">
        <v>43252</v>
      </c>
      <c r="D15" s="176">
        <v>43252</v>
      </c>
      <c r="E15" s="177" t="s">
        <v>244</v>
      </c>
      <c r="F15" s="177" t="s">
        <v>245</v>
      </c>
      <c r="G15" s="178">
        <v>1</v>
      </c>
      <c r="H15" s="179">
        <v>236</v>
      </c>
      <c r="I15" s="175" t="s">
        <v>230</v>
      </c>
      <c r="J15" s="180">
        <v>10</v>
      </c>
      <c r="K15" s="181">
        <v>200</v>
      </c>
      <c r="L15" s="181">
        <f t="shared" si="0"/>
        <v>36</v>
      </c>
      <c r="M15" s="181">
        <f t="shared" si="1"/>
        <v>236</v>
      </c>
      <c r="N15" s="182">
        <f t="shared" si="2"/>
        <v>2360</v>
      </c>
      <c r="O15" s="182">
        <f>1+1+1+4+1+1</f>
        <v>9</v>
      </c>
      <c r="P15" s="181">
        <f t="shared" si="4"/>
        <v>1</v>
      </c>
      <c r="Q15" s="181">
        <f t="shared" si="3"/>
        <v>236</v>
      </c>
      <c r="R15" s="183" t="s">
        <v>233</v>
      </c>
      <c r="S15" s="184">
        <f>Q15/P15</f>
        <v>236</v>
      </c>
    </row>
    <row r="16" spans="2:19" s="185" customFormat="1" ht="20.25" x14ac:dyDescent="0.3">
      <c r="B16" s="175">
        <v>8</v>
      </c>
      <c r="C16" s="176">
        <v>43252</v>
      </c>
      <c r="D16" s="176">
        <v>43252</v>
      </c>
      <c r="E16" s="177" t="s">
        <v>244</v>
      </c>
      <c r="F16" s="177" t="s">
        <v>246</v>
      </c>
      <c r="G16" s="178">
        <v>12</v>
      </c>
      <c r="H16" s="179">
        <v>1062</v>
      </c>
      <c r="I16" s="175" t="s">
        <v>230</v>
      </c>
      <c r="J16" s="180">
        <v>12</v>
      </c>
      <c r="K16" s="181">
        <v>75</v>
      </c>
      <c r="L16" s="181">
        <f t="shared" si="0"/>
        <v>13.5</v>
      </c>
      <c r="M16" s="181">
        <f t="shared" si="1"/>
        <v>88.5</v>
      </c>
      <c r="N16" s="182">
        <f t="shared" si="2"/>
        <v>1062</v>
      </c>
      <c r="O16" s="182"/>
      <c r="P16" s="181">
        <f t="shared" si="4"/>
        <v>12</v>
      </c>
      <c r="Q16" s="181">
        <f t="shared" si="3"/>
        <v>1062</v>
      </c>
      <c r="R16" s="183" t="s">
        <v>239</v>
      </c>
      <c r="S16" s="184"/>
    </row>
    <row r="17" spans="2:19" s="185" customFormat="1" ht="20.25" x14ac:dyDescent="0.3">
      <c r="B17" s="175">
        <v>9</v>
      </c>
      <c r="C17" s="176">
        <v>44162</v>
      </c>
      <c r="D17" s="176">
        <v>44162</v>
      </c>
      <c r="E17" s="177" t="s">
        <v>247</v>
      </c>
      <c r="F17" s="177" t="s">
        <v>248</v>
      </c>
      <c r="G17" s="178">
        <v>22</v>
      </c>
      <c r="H17" s="179">
        <v>2596</v>
      </c>
      <c r="I17" s="175" t="s">
        <v>230</v>
      </c>
      <c r="J17" s="180">
        <v>30</v>
      </c>
      <c r="K17" s="181">
        <v>100</v>
      </c>
      <c r="L17" s="181">
        <f t="shared" si="0"/>
        <v>18</v>
      </c>
      <c r="M17" s="181">
        <f t="shared" si="1"/>
        <v>118</v>
      </c>
      <c r="N17" s="182">
        <f t="shared" si="2"/>
        <v>3540</v>
      </c>
      <c r="O17" s="182">
        <f>1+1+1+2+2+1</f>
        <v>8</v>
      </c>
      <c r="P17" s="181">
        <f t="shared" si="4"/>
        <v>22</v>
      </c>
      <c r="Q17" s="181">
        <f t="shared" si="3"/>
        <v>2596</v>
      </c>
      <c r="R17" s="183" t="s">
        <v>239</v>
      </c>
      <c r="S17" s="184"/>
    </row>
    <row r="18" spans="2:19" s="185" customFormat="1" ht="20.25" x14ac:dyDescent="0.3">
      <c r="B18" s="175">
        <v>10</v>
      </c>
      <c r="C18" s="176">
        <v>44162</v>
      </c>
      <c r="D18" s="176">
        <v>44162</v>
      </c>
      <c r="E18" s="177" t="s">
        <v>249</v>
      </c>
      <c r="F18" s="177" t="s">
        <v>250</v>
      </c>
      <c r="G18" s="178">
        <v>31</v>
      </c>
      <c r="H18" s="179">
        <v>4023.8</v>
      </c>
      <c r="I18" s="175" t="s">
        <v>230</v>
      </c>
      <c r="J18" s="180">
        <v>60</v>
      </c>
      <c r="K18" s="181">
        <v>110</v>
      </c>
      <c r="L18" s="181">
        <f>+K18*18%</f>
        <v>19.8</v>
      </c>
      <c r="M18" s="181">
        <f t="shared" si="1"/>
        <v>129.80000000000001</v>
      </c>
      <c r="N18" s="182">
        <f t="shared" si="2"/>
        <v>7788.0000000000009</v>
      </c>
      <c r="O18" s="182">
        <f>5+1+1+2+6+3+2+1+2+6</f>
        <v>29</v>
      </c>
      <c r="P18" s="181">
        <f t="shared" si="4"/>
        <v>31</v>
      </c>
      <c r="Q18" s="181">
        <f t="shared" si="3"/>
        <v>4023.8</v>
      </c>
      <c r="R18" s="183" t="s">
        <v>239</v>
      </c>
      <c r="S18" s="184"/>
    </row>
    <row r="19" spans="2:19" s="185" customFormat="1" ht="20.25" x14ac:dyDescent="0.3">
      <c r="B19" s="175">
        <v>11</v>
      </c>
      <c r="C19" s="176">
        <v>44162</v>
      </c>
      <c r="D19" s="176">
        <v>44162</v>
      </c>
      <c r="E19" s="177" t="s">
        <v>251</v>
      </c>
      <c r="F19" s="177" t="s">
        <v>252</v>
      </c>
      <c r="G19" s="178">
        <v>9</v>
      </c>
      <c r="H19" s="179">
        <v>1593</v>
      </c>
      <c r="I19" s="175" t="s">
        <v>230</v>
      </c>
      <c r="J19" s="180">
        <v>20</v>
      </c>
      <c r="K19" s="181">
        <v>150</v>
      </c>
      <c r="L19" s="181">
        <f t="shared" si="0"/>
        <v>27</v>
      </c>
      <c r="M19" s="181">
        <f t="shared" si="1"/>
        <v>177</v>
      </c>
      <c r="N19" s="182">
        <f t="shared" si="2"/>
        <v>3540</v>
      </c>
      <c r="O19" s="182">
        <f>2+1+1+2+2+1+2</f>
        <v>11</v>
      </c>
      <c r="P19" s="181">
        <f t="shared" si="4"/>
        <v>9</v>
      </c>
      <c r="Q19" s="181">
        <f t="shared" si="3"/>
        <v>1593</v>
      </c>
      <c r="R19" s="183" t="s">
        <v>239</v>
      </c>
      <c r="S19" s="184"/>
    </row>
    <row r="20" spans="2:19" s="185" customFormat="1" ht="20.25" x14ac:dyDescent="0.3">
      <c r="B20" s="175">
        <v>12</v>
      </c>
      <c r="C20" s="176">
        <v>44162</v>
      </c>
      <c r="D20" s="176">
        <v>44162</v>
      </c>
      <c r="E20" s="177" t="s">
        <v>253</v>
      </c>
      <c r="F20" s="177" t="s">
        <v>254</v>
      </c>
      <c r="G20" s="178">
        <v>17</v>
      </c>
      <c r="H20" s="179">
        <v>4012</v>
      </c>
      <c r="I20" s="175" t="s">
        <v>230</v>
      </c>
      <c r="J20" s="180">
        <v>20</v>
      </c>
      <c r="K20" s="181">
        <v>200</v>
      </c>
      <c r="L20" s="181">
        <f>+K20*18%</f>
        <v>36</v>
      </c>
      <c r="M20" s="181">
        <f t="shared" si="1"/>
        <v>236</v>
      </c>
      <c r="N20" s="182">
        <f t="shared" si="2"/>
        <v>4720</v>
      </c>
      <c r="O20" s="182">
        <f>1+2</f>
        <v>3</v>
      </c>
      <c r="P20" s="181">
        <f t="shared" si="4"/>
        <v>17</v>
      </c>
      <c r="Q20" s="181">
        <f t="shared" si="3"/>
        <v>4012</v>
      </c>
      <c r="R20" s="183" t="s">
        <v>239</v>
      </c>
      <c r="S20" s="184"/>
    </row>
    <row r="21" spans="2:19" s="185" customFormat="1" ht="20.25" x14ac:dyDescent="0.3">
      <c r="B21" s="175">
        <v>13</v>
      </c>
      <c r="C21" s="176">
        <v>43252</v>
      </c>
      <c r="D21" s="176">
        <v>43252</v>
      </c>
      <c r="E21" s="177" t="s">
        <v>247</v>
      </c>
      <c r="F21" s="177" t="s">
        <v>255</v>
      </c>
      <c r="G21" s="178">
        <v>1</v>
      </c>
      <c r="H21" s="179">
        <v>354</v>
      </c>
      <c r="I21" s="175" t="s">
        <v>230</v>
      </c>
      <c r="J21" s="180">
        <v>15</v>
      </c>
      <c r="K21" s="181">
        <v>300</v>
      </c>
      <c r="L21" s="181">
        <f>+K21*18%</f>
        <v>54</v>
      </c>
      <c r="M21" s="181">
        <f t="shared" si="1"/>
        <v>354</v>
      </c>
      <c r="N21" s="182">
        <f t="shared" si="2"/>
        <v>5310</v>
      </c>
      <c r="O21" s="182">
        <f>2+6+1+1+1+1+1+1</f>
        <v>14</v>
      </c>
      <c r="P21" s="181">
        <f t="shared" si="4"/>
        <v>1</v>
      </c>
      <c r="Q21" s="181">
        <f t="shared" si="3"/>
        <v>354</v>
      </c>
      <c r="R21" s="183" t="s">
        <v>233</v>
      </c>
      <c r="S21" s="184">
        <f t="shared" ref="S21:S25" si="5">Q21/P21</f>
        <v>354</v>
      </c>
    </row>
    <row r="22" spans="2:19" s="165" customFormat="1" ht="20.25" x14ac:dyDescent="0.3">
      <c r="B22" s="175">
        <v>14</v>
      </c>
      <c r="C22" s="188">
        <v>45036</v>
      </c>
      <c r="D22" s="176">
        <v>45036</v>
      </c>
      <c r="E22" s="189" t="s">
        <v>256</v>
      </c>
      <c r="F22" s="189" t="s">
        <v>257</v>
      </c>
      <c r="G22" s="190">
        <v>3</v>
      </c>
      <c r="H22" s="179">
        <v>2301</v>
      </c>
      <c r="I22" s="191" t="s">
        <v>230</v>
      </c>
      <c r="J22" s="192">
        <v>6</v>
      </c>
      <c r="K22" s="182">
        <v>767</v>
      </c>
      <c r="L22" s="182">
        <f>+K22*18%</f>
        <v>138.06</v>
      </c>
      <c r="M22" s="182">
        <f>+K22</f>
        <v>767</v>
      </c>
      <c r="N22" s="182">
        <f>$J22*$M22</f>
        <v>4602</v>
      </c>
      <c r="O22" s="182">
        <f>2+1</f>
        <v>3</v>
      </c>
      <c r="P22" s="182">
        <f>$J22-$O22</f>
        <v>3</v>
      </c>
      <c r="Q22" s="182">
        <f t="shared" si="3"/>
        <v>2301</v>
      </c>
      <c r="R22" s="167" t="s">
        <v>258</v>
      </c>
      <c r="S22" s="193">
        <f t="shared" si="5"/>
        <v>767</v>
      </c>
    </row>
    <row r="23" spans="2:19" s="185" customFormat="1" ht="20.25" x14ac:dyDescent="0.3">
      <c r="B23" s="175">
        <v>15</v>
      </c>
      <c r="C23" s="176">
        <v>43830</v>
      </c>
      <c r="D23" s="176">
        <v>43830</v>
      </c>
      <c r="E23" s="177" t="s">
        <v>247</v>
      </c>
      <c r="F23" s="177" t="s">
        <v>259</v>
      </c>
      <c r="G23" s="178">
        <v>12</v>
      </c>
      <c r="H23" s="179">
        <v>4248</v>
      </c>
      <c r="I23" s="175" t="s">
        <v>230</v>
      </c>
      <c r="J23" s="180">
        <v>15</v>
      </c>
      <c r="K23" s="181">
        <v>300</v>
      </c>
      <c r="L23" s="181">
        <f t="shared" ref="L23:L53" si="6">+K23*18%</f>
        <v>54</v>
      </c>
      <c r="M23" s="181">
        <f t="shared" ref="M23:M54" si="7">+K23+L23</f>
        <v>354</v>
      </c>
      <c r="N23" s="182">
        <f t="shared" si="2"/>
        <v>5310</v>
      </c>
      <c r="O23" s="182">
        <f>2+1</f>
        <v>3</v>
      </c>
      <c r="P23" s="181">
        <f t="shared" si="4"/>
        <v>12</v>
      </c>
      <c r="Q23" s="181">
        <f t="shared" si="3"/>
        <v>4248</v>
      </c>
      <c r="R23" s="183"/>
      <c r="S23" s="184">
        <f t="shared" si="5"/>
        <v>354</v>
      </c>
    </row>
    <row r="24" spans="2:19" s="185" customFormat="1" ht="20.25" x14ac:dyDescent="0.3">
      <c r="B24" s="175">
        <v>16</v>
      </c>
      <c r="C24" s="176">
        <v>44162</v>
      </c>
      <c r="D24" s="176">
        <v>44162</v>
      </c>
      <c r="E24" s="177" t="s">
        <v>251</v>
      </c>
      <c r="F24" s="177" t="s">
        <v>260</v>
      </c>
      <c r="G24" s="178">
        <v>1</v>
      </c>
      <c r="H24" s="179">
        <v>826</v>
      </c>
      <c r="I24" s="175" t="s">
        <v>230</v>
      </c>
      <c r="J24" s="180">
        <v>35</v>
      </c>
      <c r="K24" s="181">
        <v>700</v>
      </c>
      <c r="L24" s="181">
        <f t="shared" si="6"/>
        <v>126</v>
      </c>
      <c r="M24" s="181">
        <f t="shared" si="7"/>
        <v>826</v>
      </c>
      <c r="N24" s="182">
        <f t="shared" si="2"/>
        <v>28910</v>
      </c>
      <c r="O24" s="182">
        <f>10+2+2+3+1+1+3+1+3+1+3+1+1+1+1</f>
        <v>34</v>
      </c>
      <c r="P24" s="181">
        <f t="shared" si="4"/>
        <v>1</v>
      </c>
      <c r="Q24" s="181">
        <f t="shared" si="3"/>
        <v>826</v>
      </c>
      <c r="R24" s="183"/>
      <c r="S24" s="184">
        <f t="shared" si="5"/>
        <v>826</v>
      </c>
    </row>
    <row r="25" spans="2:19" s="185" customFormat="1" ht="20.25" x14ac:dyDescent="0.3">
      <c r="B25" s="175">
        <v>17</v>
      </c>
      <c r="C25" s="176">
        <v>44162</v>
      </c>
      <c r="D25" s="176">
        <v>44162</v>
      </c>
      <c r="E25" s="177" t="s">
        <v>261</v>
      </c>
      <c r="F25" s="177" t="s">
        <v>262</v>
      </c>
      <c r="G25" s="178">
        <v>29</v>
      </c>
      <c r="H25" s="179">
        <v>13345.8</v>
      </c>
      <c r="I25" s="175" t="s">
        <v>230</v>
      </c>
      <c r="J25" s="180">
        <v>36</v>
      </c>
      <c r="K25" s="181">
        <v>390</v>
      </c>
      <c r="L25" s="181">
        <f t="shared" si="6"/>
        <v>70.2</v>
      </c>
      <c r="M25" s="181">
        <f t="shared" si="7"/>
        <v>460.2</v>
      </c>
      <c r="N25" s="182">
        <f t="shared" si="2"/>
        <v>16567.2</v>
      </c>
      <c r="O25" s="182">
        <f>1+2+1+1+2</f>
        <v>7</v>
      </c>
      <c r="P25" s="181">
        <f t="shared" si="4"/>
        <v>29</v>
      </c>
      <c r="Q25" s="181">
        <f t="shared" si="3"/>
        <v>13345.8</v>
      </c>
      <c r="R25" s="183"/>
      <c r="S25" s="184">
        <f t="shared" si="5"/>
        <v>460.2</v>
      </c>
    </row>
    <row r="26" spans="2:19" s="185" customFormat="1" ht="20.25" x14ac:dyDescent="0.3">
      <c r="B26" s="175">
        <v>18</v>
      </c>
      <c r="C26" s="176">
        <v>44162</v>
      </c>
      <c r="D26" s="176">
        <v>44162</v>
      </c>
      <c r="E26" s="177" t="s">
        <v>261</v>
      </c>
      <c r="F26" s="177" t="s">
        <v>262</v>
      </c>
      <c r="G26" s="178">
        <v>12</v>
      </c>
      <c r="H26" s="179">
        <v>212.4</v>
      </c>
      <c r="I26" s="175" t="s">
        <v>230</v>
      </c>
      <c r="J26" s="180">
        <v>12</v>
      </c>
      <c r="K26" s="181">
        <v>15</v>
      </c>
      <c r="L26" s="181">
        <f t="shared" si="6"/>
        <v>2.6999999999999997</v>
      </c>
      <c r="M26" s="181">
        <f t="shared" si="7"/>
        <v>17.7</v>
      </c>
      <c r="N26" s="182">
        <f t="shared" si="2"/>
        <v>212.39999999999998</v>
      </c>
      <c r="O26" s="182"/>
      <c r="P26" s="181">
        <f t="shared" si="4"/>
        <v>12</v>
      </c>
      <c r="Q26" s="181">
        <f t="shared" si="3"/>
        <v>212.39999999999998</v>
      </c>
      <c r="R26" s="183" t="s">
        <v>239</v>
      </c>
      <c r="S26" s="184"/>
    </row>
    <row r="27" spans="2:19" s="185" customFormat="1" ht="20.25" x14ac:dyDescent="0.3">
      <c r="B27" s="175">
        <v>19</v>
      </c>
      <c r="C27" s="176">
        <v>43609</v>
      </c>
      <c r="D27" s="176">
        <v>43609</v>
      </c>
      <c r="E27" s="177" t="s">
        <v>263</v>
      </c>
      <c r="F27" s="177" t="s">
        <v>264</v>
      </c>
      <c r="G27" s="178">
        <v>2</v>
      </c>
      <c r="H27" s="179">
        <v>16874</v>
      </c>
      <c r="I27" s="175" t="s">
        <v>230</v>
      </c>
      <c r="J27" s="180">
        <v>2</v>
      </c>
      <c r="K27" s="181">
        <v>7150</v>
      </c>
      <c r="L27" s="181">
        <f t="shared" si="6"/>
        <v>1287</v>
      </c>
      <c r="M27" s="181">
        <f t="shared" si="7"/>
        <v>8437</v>
      </c>
      <c r="N27" s="182">
        <f t="shared" si="2"/>
        <v>16874</v>
      </c>
      <c r="O27" s="182">
        <v>0</v>
      </c>
      <c r="P27" s="181">
        <f t="shared" si="4"/>
        <v>2</v>
      </c>
      <c r="Q27" s="181">
        <f t="shared" si="3"/>
        <v>16874</v>
      </c>
      <c r="R27" s="183" t="s">
        <v>239</v>
      </c>
      <c r="S27" s="184"/>
    </row>
    <row r="28" spans="2:19" s="185" customFormat="1" ht="20.25" x14ac:dyDescent="0.3">
      <c r="B28" s="175">
        <v>20</v>
      </c>
      <c r="C28" s="176">
        <v>43609</v>
      </c>
      <c r="D28" s="176">
        <v>43609</v>
      </c>
      <c r="E28" s="177" t="s">
        <v>265</v>
      </c>
      <c r="F28" s="177" t="s">
        <v>266</v>
      </c>
      <c r="G28" s="178">
        <v>2</v>
      </c>
      <c r="H28" s="179">
        <v>16874</v>
      </c>
      <c r="I28" s="175" t="s">
        <v>230</v>
      </c>
      <c r="J28" s="180">
        <v>2</v>
      </c>
      <c r="K28" s="181">
        <v>7150</v>
      </c>
      <c r="L28" s="181">
        <f t="shared" si="6"/>
        <v>1287</v>
      </c>
      <c r="M28" s="181">
        <f t="shared" si="7"/>
        <v>8437</v>
      </c>
      <c r="N28" s="182">
        <f t="shared" si="2"/>
        <v>16874</v>
      </c>
      <c r="O28" s="182">
        <v>0</v>
      </c>
      <c r="P28" s="181">
        <f t="shared" si="4"/>
        <v>2</v>
      </c>
      <c r="Q28" s="181">
        <f t="shared" si="3"/>
        <v>16874</v>
      </c>
      <c r="R28" s="183" t="s">
        <v>239</v>
      </c>
      <c r="S28" s="184"/>
    </row>
    <row r="29" spans="2:19" s="185" customFormat="1" ht="20.25" x14ac:dyDescent="0.3">
      <c r="B29" s="175">
        <v>21</v>
      </c>
      <c r="C29" s="176">
        <v>43609</v>
      </c>
      <c r="D29" s="176">
        <v>43609</v>
      </c>
      <c r="E29" s="177" t="s">
        <v>267</v>
      </c>
      <c r="F29" s="177" t="s">
        <v>268</v>
      </c>
      <c r="G29" s="178">
        <v>2</v>
      </c>
      <c r="H29" s="179">
        <v>16874</v>
      </c>
      <c r="I29" s="175" t="s">
        <v>230</v>
      </c>
      <c r="J29" s="180">
        <v>2</v>
      </c>
      <c r="K29" s="181">
        <v>7150</v>
      </c>
      <c r="L29" s="181">
        <f t="shared" si="6"/>
        <v>1287</v>
      </c>
      <c r="M29" s="181">
        <f t="shared" si="7"/>
        <v>8437</v>
      </c>
      <c r="N29" s="182">
        <f t="shared" si="2"/>
        <v>16874</v>
      </c>
      <c r="O29" s="182">
        <v>0</v>
      </c>
      <c r="P29" s="181">
        <f t="shared" si="4"/>
        <v>2</v>
      </c>
      <c r="Q29" s="181">
        <f t="shared" si="3"/>
        <v>16874</v>
      </c>
      <c r="R29" s="183" t="s">
        <v>239</v>
      </c>
      <c r="S29" s="184"/>
    </row>
    <row r="30" spans="2:19" s="185" customFormat="1" ht="20.25" x14ac:dyDescent="0.3">
      <c r="B30" s="175">
        <v>22</v>
      </c>
      <c r="C30" s="176">
        <v>43252</v>
      </c>
      <c r="D30" s="176">
        <v>43252</v>
      </c>
      <c r="E30" s="177" t="s">
        <v>269</v>
      </c>
      <c r="F30" s="177" t="s">
        <v>270</v>
      </c>
      <c r="G30" s="178">
        <v>4</v>
      </c>
      <c r="H30" s="179">
        <v>33040</v>
      </c>
      <c r="I30" s="175" t="s">
        <v>230</v>
      </c>
      <c r="J30" s="180">
        <v>4</v>
      </c>
      <c r="K30" s="181">
        <v>7000</v>
      </c>
      <c r="L30" s="181">
        <f t="shared" si="6"/>
        <v>1260</v>
      </c>
      <c r="M30" s="181">
        <f t="shared" si="7"/>
        <v>8260</v>
      </c>
      <c r="N30" s="182">
        <f t="shared" si="2"/>
        <v>33040</v>
      </c>
      <c r="O30" s="182">
        <v>0</v>
      </c>
      <c r="P30" s="181">
        <f t="shared" si="4"/>
        <v>4</v>
      </c>
      <c r="Q30" s="181">
        <f t="shared" si="3"/>
        <v>33040</v>
      </c>
      <c r="R30" s="183" t="s">
        <v>239</v>
      </c>
      <c r="S30" s="184"/>
    </row>
    <row r="31" spans="2:19" s="185" customFormat="1" ht="20.25" x14ac:dyDescent="0.3">
      <c r="B31" s="175">
        <v>23</v>
      </c>
      <c r="C31" s="176">
        <v>43252</v>
      </c>
      <c r="D31" s="176">
        <v>43252</v>
      </c>
      <c r="E31" s="177" t="s">
        <v>271</v>
      </c>
      <c r="F31" s="177" t="s">
        <v>272</v>
      </c>
      <c r="G31" s="178">
        <v>2</v>
      </c>
      <c r="H31" s="179">
        <v>16874</v>
      </c>
      <c r="I31" s="175" t="s">
        <v>230</v>
      </c>
      <c r="J31" s="180">
        <v>2</v>
      </c>
      <c r="K31" s="181">
        <v>7150</v>
      </c>
      <c r="L31" s="181">
        <f t="shared" si="6"/>
        <v>1287</v>
      </c>
      <c r="M31" s="181">
        <f t="shared" si="7"/>
        <v>8437</v>
      </c>
      <c r="N31" s="182">
        <f t="shared" si="2"/>
        <v>16874</v>
      </c>
      <c r="O31" s="182">
        <v>0</v>
      </c>
      <c r="P31" s="181">
        <f t="shared" si="4"/>
        <v>2</v>
      </c>
      <c r="Q31" s="181">
        <f t="shared" si="3"/>
        <v>16874</v>
      </c>
      <c r="R31" s="183" t="s">
        <v>239</v>
      </c>
      <c r="S31" s="184"/>
    </row>
    <row r="32" spans="2:19" s="165" customFormat="1" ht="20.25" x14ac:dyDescent="0.3">
      <c r="B32" s="175">
        <v>24</v>
      </c>
      <c r="C32" s="188">
        <v>45036</v>
      </c>
      <c r="D32" s="176">
        <v>45036</v>
      </c>
      <c r="E32" s="189" t="s">
        <v>271</v>
      </c>
      <c r="F32" s="189" t="s">
        <v>273</v>
      </c>
      <c r="G32" s="178">
        <v>3</v>
      </c>
      <c r="H32" s="179">
        <v>3540</v>
      </c>
      <c r="I32" s="191" t="s">
        <v>230</v>
      </c>
      <c r="J32" s="192">
        <v>3</v>
      </c>
      <c r="K32" s="182">
        <v>1000</v>
      </c>
      <c r="L32" s="182">
        <f t="shared" si="6"/>
        <v>180</v>
      </c>
      <c r="M32" s="182">
        <f t="shared" si="7"/>
        <v>1180</v>
      </c>
      <c r="N32" s="182">
        <f t="shared" si="2"/>
        <v>3540</v>
      </c>
      <c r="O32" s="182">
        <v>0</v>
      </c>
      <c r="P32" s="182">
        <f t="shared" si="4"/>
        <v>3</v>
      </c>
      <c r="Q32" s="182">
        <f t="shared" si="3"/>
        <v>3540</v>
      </c>
      <c r="R32" s="167" t="s">
        <v>258</v>
      </c>
      <c r="S32" s="193"/>
    </row>
    <row r="33" spans="2:19" s="185" customFormat="1" ht="20.25" x14ac:dyDescent="0.3">
      <c r="B33" s="175">
        <v>25</v>
      </c>
      <c r="C33" s="176">
        <v>43252</v>
      </c>
      <c r="D33" s="176">
        <v>43252</v>
      </c>
      <c r="E33" s="177" t="s">
        <v>274</v>
      </c>
      <c r="F33" s="187" t="s">
        <v>275</v>
      </c>
      <c r="G33" s="178">
        <v>14</v>
      </c>
      <c r="H33" s="179">
        <v>1147.2222222222199</v>
      </c>
      <c r="I33" s="175" t="s">
        <v>230</v>
      </c>
      <c r="J33" s="180">
        <v>125</v>
      </c>
      <c r="K33" s="181">
        <v>69.444444444444443</v>
      </c>
      <c r="L33" s="181">
        <f t="shared" si="6"/>
        <v>12.5</v>
      </c>
      <c r="M33" s="181">
        <f t="shared" si="7"/>
        <v>81.944444444444443</v>
      </c>
      <c r="N33" s="182">
        <f t="shared" si="2"/>
        <v>10243.055555555555</v>
      </c>
      <c r="O33" s="182">
        <f>28+1+10+2+1+25+25+2+5+6+1+2+1+2</f>
        <v>111</v>
      </c>
      <c r="P33" s="181">
        <f t="shared" si="4"/>
        <v>14</v>
      </c>
      <c r="Q33" s="181">
        <f t="shared" si="3"/>
        <v>1147.2222222222222</v>
      </c>
      <c r="R33" s="183"/>
      <c r="S33" s="184">
        <f>Q33/P33</f>
        <v>81.944444444444443</v>
      </c>
    </row>
    <row r="34" spans="2:19" s="185" customFormat="1" ht="20.25" x14ac:dyDescent="0.3">
      <c r="B34" s="175">
        <v>26</v>
      </c>
      <c r="C34" s="176">
        <v>44162</v>
      </c>
      <c r="D34" s="176">
        <v>44162</v>
      </c>
      <c r="E34" s="177" t="s">
        <v>276</v>
      </c>
      <c r="F34" s="187" t="s">
        <v>277</v>
      </c>
      <c r="G34" s="178">
        <v>41</v>
      </c>
      <c r="H34" s="179">
        <v>1790.06</v>
      </c>
      <c r="I34" s="175" t="s">
        <v>230</v>
      </c>
      <c r="J34" s="180">
        <v>50</v>
      </c>
      <c r="K34" s="181">
        <v>37</v>
      </c>
      <c r="L34" s="181">
        <f t="shared" si="6"/>
        <v>6.66</v>
      </c>
      <c r="M34" s="181">
        <f t="shared" si="7"/>
        <v>43.66</v>
      </c>
      <c r="N34" s="182">
        <f t="shared" si="2"/>
        <v>2183</v>
      </c>
      <c r="O34" s="182">
        <f>6+3</f>
        <v>9</v>
      </c>
      <c r="P34" s="181">
        <f t="shared" si="4"/>
        <v>41</v>
      </c>
      <c r="Q34" s="181">
        <f t="shared" si="3"/>
        <v>1790.06</v>
      </c>
      <c r="R34" s="183" t="s">
        <v>239</v>
      </c>
      <c r="S34" s="184"/>
    </row>
    <row r="35" spans="2:19" s="185" customFormat="1" ht="20.25" x14ac:dyDescent="0.3">
      <c r="B35" s="175">
        <v>27</v>
      </c>
      <c r="C35" s="176">
        <v>43609</v>
      </c>
      <c r="D35" s="176">
        <v>43609</v>
      </c>
      <c r="E35" s="177" t="s">
        <v>278</v>
      </c>
      <c r="F35" s="177" t="s">
        <v>279</v>
      </c>
      <c r="G35" s="178">
        <v>8</v>
      </c>
      <c r="H35" s="179">
        <v>755.2</v>
      </c>
      <c r="I35" s="175" t="s">
        <v>230</v>
      </c>
      <c r="J35" s="180">
        <v>10</v>
      </c>
      <c r="K35" s="181">
        <v>80</v>
      </c>
      <c r="L35" s="181">
        <f t="shared" si="6"/>
        <v>14.399999999999999</v>
      </c>
      <c r="M35" s="181">
        <f t="shared" si="7"/>
        <v>94.4</v>
      </c>
      <c r="N35" s="182">
        <f t="shared" si="2"/>
        <v>944</v>
      </c>
      <c r="O35" s="182">
        <f>1+1</f>
        <v>2</v>
      </c>
      <c r="P35" s="181">
        <f t="shared" si="4"/>
        <v>8</v>
      </c>
      <c r="Q35" s="181">
        <f t="shared" si="3"/>
        <v>755.2</v>
      </c>
      <c r="R35" s="183" t="s">
        <v>233</v>
      </c>
      <c r="S35" s="184">
        <f>Q35/P35</f>
        <v>94.4</v>
      </c>
    </row>
    <row r="36" spans="2:19" s="185" customFormat="1" ht="20.25" x14ac:dyDescent="0.3">
      <c r="B36" s="175">
        <v>28</v>
      </c>
      <c r="C36" s="176">
        <v>44162</v>
      </c>
      <c r="D36" s="176">
        <v>44162</v>
      </c>
      <c r="E36" s="177" t="s">
        <v>278</v>
      </c>
      <c r="F36" s="177" t="s">
        <v>279</v>
      </c>
      <c r="G36" s="178">
        <v>12</v>
      </c>
      <c r="H36" s="179">
        <v>708</v>
      </c>
      <c r="I36" s="175" t="s">
        <v>230</v>
      </c>
      <c r="J36" s="180">
        <v>12</v>
      </c>
      <c r="K36" s="181">
        <v>50</v>
      </c>
      <c r="L36" s="181">
        <f t="shared" si="6"/>
        <v>9</v>
      </c>
      <c r="M36" s="181">
        <f t="shared" si="7"/>
        <v>59</v>
      </c>
      <c r="N36" s="182">
        <f t="shared" si="2"/>
        <v>708</v>
      </c>
      <c r="O36" s="182">
        <v>0</v>
      </c>
      <c r="P36" s="181">
        <f t="shared" si="4"/>
        <v>12</v>
      </c>
      <c r="Q36" s="181">
        <f t="shared" si="3"/>
        <v>708</v>
      </c>
      <c r="R36" s="183" t="s">
        <v>239</v>
      </c>
    </row>
    <row r="37" spans="2:19" s="185" customFormat="1" ht="20.25" x14ac:dyDescent="0.3">
      <c r="B37" s="175">
        <v>29</v>
      </c>
      <c r="C37" s="176">
        <v>43609</v>
      </c>
      <c r="D37" s="176">
        <v>43609</v>
      </c>
      <c r="E37" s="177" t="s">
        <v>280</v>
      </c>
      <c r="F37" s="177" t="s">
        <v>281</v>
      </c>
      <c r="G37" s="178">
        <v>8</v>
      </c>
      <c r="H37" s="179">
        <v>472</v>
      </c>
      <c r="I37" s="175" t="s">
        <v>230</v>
      </c>
      <c r="J37" s="180">
        <v>20</v>
      </c>
      <c r="K37" s="181">
        <v>50</v>
      </c>
      <c r="L37" s="181">
        <f t="shared" si="6"/>
        <v>9</v>
      </c>
      <c r="M37" s="181">
        <f t="shared" si="7"/>
        <v>59</v>
      </c>
      <c r="N37" s="182">
        <f t="shared" si="2"/>
        <v>1180</v>
      </c>
      <c r="O37" s="182">
        <f>1+4+3+3+1</f>
        <v>12</v>
      </c>
      <c r="P37" s="181">
        <f t="shared" si="4"/>
        <v>8</v>
      </c>
      <c r="Q37" s="181">
        <f t="shared" si="3"/>
        <v>472</v>
      </c>
      <c r="R37" s="183" t="s">
        <v>233</v>
      </c>
      <c r="S37" s="184">
        <f t="shared" ref="S37:S57" si="8">Q37/P37</f>
        <v>59</v>
      </c>
    </row>
    <row r="38" spans="2:19" s="185" customFormat="1" ht="20.25" x14ac:dyDescent="0.3">
      <c r="B38" s="175">
        <v>30</v>
      </c>
      <c r="C38" s="176">
        <v>43609</v>
      </c>
      <c r="D38" s="176">
        <v>43609</v>
      </c>
      <c r="E38" s="177" t="s">
        <v>282</v>
      </c>
      <c r="F38" s="177" t="s">
        <v>283</v>
      </c>
      <c r="G38" s="178">
        <v>3</v>
      </c>
      <c r="H38" s="179">
        <v>407.1</v>
      </c>
      <c r="I38" s="175" t="s">
        <v>230</v>
      </c>
      <c r="J38" s="180">
        <v>6</v>
      </c>
      <c r="K38" s="181">
        <v>115</v>
      </c>
      <c r="L38" s="181">
        <f t="shared" si="6"/>
        <v>20.7</v>
      </c>
      <c r="M38" s="181">
        <f t="shared" si="7"/>
        <v>135.69999999999999</v>
      </c>
      <c r="N38" s="182">
        <f t="shared" si="2"/>
        <v>814.19999999999993</v>
      </c>
      <c r="O38" s="182">
        <f>1+1+1</f>
        <v>3</v>
      </c>
      <c r="P38" s="181">
        <f t="shared" si="4"/>
        <v>3</v>
      </c>
      <c r="Q38" s="181">
        <f t="shared" si="3"/>
        <v>407.09999999999997</v>
      </c>
      <c r="R38" s="183" t="s">
        <v>233</v>
      </c>
      <c r="S38" s="184">
        <f t="shared" si="8"/>
        <v>135.69999999999999</v>
      </c>
    </row>
    <row r="39" spans="2:19" s="185" customFormat="1" ht="20.25" x14ac:dyDescent="0.3">
      <c r="B39" s="175">
        <v>31</v>
      </c>
      <c r="C39" s="176">
        <v>44162</v>
      </c>
      <c r="D39" s="176">
        <v>44162</v>
      </c>
      <c r="E39" s="177" t="s">
        <v>282</v>
      </c>
      <c r="F39" s="177" t="s">
        <v>283</v>
      </c>
      <c r="G39" s="178">
        <v>47</v>
      </c>
      <c r="H39" s="179">
        <v>2773</v>
      </c>
      <c r="I39" s="175" t="s">
        <v>230</v>
      </c>
      <c r="J39" s="180">
        <v>60</v>
      </c>
      <c r="K39" s="181">
        <v>50</v>
      </c>
      <c r="L39" s="181">
        <f t="shared" si="6"/>
        <v>9</v>
      </c>
      <c r="M39" s="181">
        <f t="shared" si="7"/>
        <v>59</v>
      </c>
      <c r="N39" s="182">
        <f t="shared" si="2"/>
        <v>3540</v>
      </c>
      <c r="O39" s="182">
        <f>10+2+1</f>
        <v>13</v>
      </c>
      <c r="P39" s="181">
        <f t="shared" si="4"/>
        <v>47</v>
      </c>
      <c r="Q39" s="181">
        <f t="shared" si="3"/>
        <v>2773</v>
      </c>
      <c r="R39" s="183" t="s">
        <v>239</v>
      </c>
      <c r="S39" s="184">
        <f t="shared" si="8"/>
        <v>59</v>
      </c>
    </row>
    <row r="40" spans="2:19" s="185" customFormat="1" ht="20.25" x14ac:dyDescent="0.3">
      <c r="B40" s="175">
        <v>32</v>
      </c>
      <c r="C40" s="176">
        <v>43609</v>
      </c>
      <c r="D40" s="176">
        <v>43609</v>
      </c>
      <c r="E40" s="177" t="s">
        <v>284</v>
      </c>
      <c r="F40" s="177" t="s">
        <v>285</v>
      </c>
      <c r="G40" s="178">
        <v>1</v>
      </c>
      <c r="H40" s="179">
        <v>118</v>
      </c>
      <c r="I40" s="175" t="s">
        <v>286</v>
      </c>
      <c r="J40" s="180">
        <v>11</v>
      </c>
      <c r="K40" s="181">
        <v>100</v>
      </c>
      <c r="L40" s="181">
        <f t="shared" si="6"/>
        <v>18</v>
      </c>
      <c r="M40" s="181">
        <f t="shared" si="7"/>
        <v>118</v>
      </c>
      <c r="N40" s="182">
        <f t="shared" si="2"/>
        <v>1298</v>
      </c>
      <c r="O40" s="182">
        <f>3+1+1+1+1+1+1+1</f>
        <v>10</v>
      </c>
      <c r="P40" s="181">
        <f t="shared" si="4"/>
        <v>1</v>
      </c>
      <c r="Q40" s="181">
        <f t="shared" si="3"/>
        <v>118</v>
      </c>
      <c r="R40" s="183" t="s">
        <v>233</v>
      </c>
      <c r="S40" s="184">
        <f t="shared" si="8"/>
        <v>118</v>
      </c>
    </row>
    <row r="41" spans="2:19" s="185" customFormat="1" ht="20.25" x14ac:dyDescent="0.3">
      <c r="B41" s="175">
        <v>33</v>
      </c>
      <c r="C41" s="176">
        <v>43609</v>
      </c>
      <c r="D41" s="176">
        <v>43609</v>
      </c>
      <c r="E41" s="177" t="s">
        <v>284</v>
      </c>
      <c r="F41" s="177" t="s">
        <v>285</v>
      </c>
      <c r="G41" s="178">
        <v>2</v>
      </c>
      <c r="H41" s="179">
        <v>59</v>
      </c>
      <c r="I41" s="175" t="s">
        <v>286</v>
      </c>
      <c r="J41" s="180">
        <v>4</v>
      </c>
      <c r="K41" s="181">
        <v>25</v>
      </c>
      <c r="L41" s="181">
        <f t="shared" si="6"/>
        <v>4.5</v>
      </c>
      <c r="M41" s="181">
        <f t="shared" si="7"/>
        <v>29.5</v>
      </c>
      <c r="N41" s="182">
        <f t="shared" si="2"/>
        <v>118</v>
      </c>
      <c r="O41" s="182">
        <f>1+1</f>
        <v>2</v>
      </c>
      <c r="P41" s="181">
        <f t="shared" si="4"/>
        <v>2</v>
      </c>
      <c r="Q41" s="181">
        <f t="shared" si="3"/>
        <v>59</v>
      </c>
      <c r="R41" s="183" t="s">
        <v>239</v>
      </c>
      <c r="S41" s="184">
        <f t="shared" si="8"/>
        <v>29.5</v>
      </c>
    </row>
    <row r="42" spans="2:19" s="185" customFormat="1" ht="20.25" x14ac:dyDescent="0.3">
      <c r="B42" s="175">
        <v>34</v>
      </c>
      <c r="C42" s="176">
        <v>43609</v>
      </c>
      <c r="D42" s="176">
        <v>43609</v>
      </c>
      <c r="E42" s="177" t="s">
        <v>287</v>
      </c>
      <c r="F42" s="177" t="s">
        <v>288</v>
      </c>
      <c r="G42" s="178">
        <v>50</v>
      </c>
      <c r="H42" s="179">
        <v>5900</v>
      </c>
      <c r="I42" s="175" t="s">
        <v>286</v>
      </c>
      <c r="J42" s="180">
        <v>2</v>
      </c>
      <c r="K42" s="181">
        <v>200</v>
      </c>
      <c r="L42" s="181">
        <f t="shared" si="6"/>
        <v>36</v>
      </c>
      <c r="M42" s="181">
        <f t="shared" si="7"/>
        <v>236</v>
      </c>
      <c r="N42" s="182">
        <f t="shared" si="2"/>
        <v>472</v>
      </c>
      <c r="O42" s="182">
        <f>1+1</f>
        <v>2</v>
      </c>
      <c r="P42" s="181">
        <f>2+23</f>
        <v>25</v>
      </c>
      <c r="Q42" s="181">
        <f t="shared" si="3"/>
        <v>5900</v>
      </c>
      <c r="R42" s="183" t="s">
        <v>233</v>
      </c>
      <c r="S42" s="184">
        <f t="shared" si="8"/>
        <v>236</v>
      </c>
    </row>
    <row r="43" spans="2:19" s="185" customFormat="1" ht="20.25" x14ac:dyDescent="0.3">
      <c r="B43" s="175">
        <v>35</v>
      </c>
      <c r="C43" s="176">
        <v>43609</v>
      </c>
      <c r="D43" s="176">
        <v>43609</v>
      </c>
      <c r="E43" s="177" t="s">
        <v>289</v>
      </c>
      <c r="F43" s="177" t="s">
        <v>290</v>
      </c>
      <c r="G43" s="178">
        <v>12</v>
      </c>
      <c r="H43" s="179">
        <v>708</v>
      </c>
      <c r="I43" s="175" t="s">
        <v>286</v>
      </c>
      <c r="J43" s="180">
        <v>2</v>
      </c>
      <c r="K43" s="181">
        <v>300</v>
      </c>
      <c r="L43" s="181">
        <f t="shared" si="6"/>
        <v>54</v>
      </c>
      <c r="M43" s="181">
        <f t="shared" si="7"/>
        <v>354</v>
      </c>
      <c r="N43" s="182">
        <f t="shared" si="2"/>
        <v>708</v>
      </c>
      <c r="O43" s="182">
        <f>2</f>
        <v>2</v>
      </c>
      <c r="P43" s="181">
        <v>2</v>
      </c>
      <c r="Q43" s="181">
        <f t="shared" si="3"/>
        <v>708</v>
      </c>
      <c r="R43" s="183" t="s">
        <v>233</v>
      </c>
      <c r="S43" s="184">
        <f t="shared" si="8"/>
        <v>354</v>
      </c>
    </row>
    <row r="44" spans="2:19" s="185" customFormat="1" ht="20.25" x14ac:dyDescent="0.3">
      <c r="B44" s="175">
        <v>36</v>
      </c>
      <c r="C44" s="176">
        <v>43609</v>
      </c>
      <c r="D44" s="176">
        <v>43609</v>
      </c>
      <c r="E44" s="177" t="s">
        <v>289</v>
      </c>
      <c r="F44" s="177" t="s">
        <v>290</v>
      </c>
      <c r="G44" s="178">
        <v>3</v>
      </c>
      <c r="H44" s="179">
        <v>318.60000000000002</v>
      </c>
      <c r="I44" s="175" t="s">
        <v>286</v>
      </c>
      <c r="J44" s="180">
        <v>4</v>
      </c>
      <c r="K44" s="181">
        <v>90</v>
      </c>
      <c r="L44" s="181">
        <f t="shared" si="6"/>
        <v>16.2</v>
      </c>
      <c r="M44" s="181">
        <f t="shared" si="7"/>
        <v>106.2</v>
      </c>
      <c r="N44" s="182">
        <f t="shared" si="2"/>
        <v>424.8</v>
      </c>
      <c r="O44" s="182">
        <v>1</v>
      </c>
      <c r="P44" s="181">
        <f t="shared" ref="P44:P107" si="9">$J44-$O44</f>
        <v>3</v>
      </c>
      <c r="Q44" s="181">
        <f t="shared" si="3"/>
        <v>318.60000000000002</v>
      </c>
      <c r="R44" s="183" t="s">
        <v>239</v>
      </c>
      <c r="S44" s="184">
        <f t="shared" si="8"/>
        <v>106.2</v>
      </c>
    </row>
    <row r="45" spans="2:19" s="185" customFormat="1" ht="20.25" x14ac:dyDescent="0.3">
      <c r="B45" s="175">
        <v>37</v>
      </c>
      <c r="C45" s="176">
        <v>44162</v>
      </c>
      <c r="D45" s="176">
        <v>44162</v>
      </c>
      <c r="E45" s="177" t="s">
        <v>291</v>
      </c>
      <c r="F45" s="177" t="s">
        <v>292</v>
      </c>
      <c r="G45" s="178">
        <v>29</v>
      </c>
      <c r="H45" s="179">
        <v>752.84</v>
      </c>
      <c r="I45" s="175" t="s">
        <v>286</v>
      </c>
      <c r="J45" s="180">
        <v>40</v>
      </c>
      <c r="K45" s="181">
        <v>22</v>
      </c>
      <c r="L45" s="181">
        <f t="shared" si="6"/>
        <v>3.96</v>
      </c>
      <c r="M45" s="181">
        <f t="shared" si="7"/>
        <v>25.96</v>
      </c>
      <c r="N45" s="182">
        <f t="shared" si="2"/>
        <v>1038.4000000000001</v>
      </c>
      <c r="O45" s="182">
        <f>3+3+1+1+2+1</f>
        <v>11</v>
      </c>
      <c r="P45" s="181">
        <f t="shared" si="9"/>
        <v>29</v>
      </c>
      <c r="Q45" s="181">
        <f t="shared" si="3"/>
        <v>752.84</v>
      </c>
      <c r="R45" s="183" t="s">
        <v>239</v>
      </c>
      <c r="S45" s="184">
        <f t="shared" si="8"/>
        <v>25.96</v>
      </c>
    </row>
    <row r="46" spans="2:19" s="185" customFormat="1" ht="20.25" x14ac:dyDescent="0.3">
      <c r="B46" s="175">
        <v>38</v>
      </c>
      <c r="C46" s="176">
        <v>44162</v>
      </c>
      <c r="D46" s="176">
        <v>44162</v>
      </c>
      <c r="E46" s="177" t="s">
        <v>291</v>
      </c>
      <c r="F46" s="177" t="s">
        <v>293</v>
      </c>
      <c r="G46" s="178">
        <v>19</v>
      </c>
      <c r="H46" s="179">
        <v>1810.8634</v>
      </c>
      <c r="I46" s="175" t="s">
        <v>286</v>
      </c>
      <c r="J46" s="180">
        <v>36</v>
      </c>
      <c r="K46" s="181">
        <v>80.77</v>
      </c>
      <c r="L46" s="181">
        <f t="shared" si="6"/>
        <v>14.538599999999999</v>
      </c>
      <c r="M46" s="181">
        <f t="shared" si="7"/>
        <v>95.308599999999998</v>
      </c>
      <c r="N46" s="182">
        <f t="shared" si="2"/>
        <v>3431.1095999999998</v>
      </c>
      <c r="O46" s="182">
        <f>12+1+3+1</f>
        <v>17</v>
      </c>
      <c r="P46" s="181">
        <f t="shared" si="9"/>
        <v>19</v>
      </c>
      <c r="Q46" s="181">
        <f t="shared" si="3"/>
        <v>1810.8634</v>
      </c>
      <c r="R46" s="183"/>
      <c r="S46" s="184">
        <f t="shared" si="8"/>
        <v>95.308599999999998</v>
      </c>
    </row>
    <row r="47" spans="2:19" s="185" customFormat="1" ht="20.25" x14ac:dyDescent="0.3">
      <c r="B47" s="175">
        <v>39</v>
      </c>
      <c r="C47" s="176">
        <v>44162</v>
      </c>
      <c r="D47" s="176">
        <v>44162</v>
      </c>
      <c r="E47" s="177" t="s">
        <v>291</v>
      </c>
      <c r="F47" s="177" t="s">
        <v>293</v>
      </c>
      <c r="G47" s="178">
        <v>8</v>
      </c>
      <c r="H47" s="179">
        <v>1699.2</v>
      </c>
      <c r="I47" s="175" t="s">
        <v>286</v>
      </c>
      <c r="J47" s="180">
        <v>10</v>
      </c>
      <c r="K47" s="181">
        <v>180</v>
      </c>
      <c r="L47" s="181">
        <f t="shared" si="6"/>
        <v>32.4</v>
      </c>
      <c r="M47" s="181">
        <f t="shared" si="7"/>
        <v>212.4</v>
      </c>
      <c r="N47" s="182">
        <f t="shared" si="2"/>
        <v>2124</v>
      </c>
      <c r="O47" s="182">
        <v>2</v>
      </c>
      <c r="P47" s="181">
        <f t="shared" si="9"/>
        <v>8</v>
      </c>
      <c r="Q47" s="181">
        <f t="shared" si="3"/>
        <v>1699.2</v>
      </c>
      <c r="R47" s="183" t="s">
        <v>233</v>
      </c>
      <c r="S47" s="184">
        <f t="shared" si="8"/>
        <v>212.4</v>
      </c>
    </row>
    <row r="48" spans="2:19" s="185" customFormat="1" ht="20.25" x14ac:dyDescent="0.3">
      <c r="B48" s="175">
        <v>40</v>
      </c>
      <c r="C48" s="176">
        <v>44162</v>
      </c>
      <c r="D48" s="176">
        <v>44162</v>
      </c>
      <c r="E48" s="177" t="s">
        <v>294</v>
      </c>
      <c r="F48" s="177" t="s">
        <v>295</v>
      </c>
      <c r="G48" s="178">
        <v>32</v>
      </c>
      <c r="H48" s="179">
        <v>415.36</v>
      </c>
      <c r="I48" s="175" t="s">
        <v>286</v>
      </c>
      <c r="J48" s="180">
        <v>40</v>
      </c>
      <c r="K48" s="181">
        <v>11</v>
      </c>
      <c r="L48" s="181">
        <f t="shared" si="6"/>
        <v>1.98</v>
      </c>
      <c r="M48" s="181">
        <f t="shared" si="7"/>
        <v>12.98</v>
      </c>
      <c r="N48" s="182">
        <f t="shared" si="2"/>
        <v>519.20000000000005</v>
      </c>
      <c r="O48" s="182">
        <f>1+1+1+2+1+1+1</f>
        <v>8</v>
      </c>
      <c r="P48" s="181">
        <f t="shared" si="9"/>
        <v>32</v>
      </c>
      <c r="Q48" s="181">
        <f t="shared" si="3"/>
        <v>415.36</v>
      </c>
      <c r="R48" s="183" t="s">
        <v>239</v>
      </c>
      <c r="S48" s="184">
        <f t="shared" si="8"/>
        <v>12.98</v>
      </c>
    </row>
    <row r="49" spans="2:20" s="185" customFormat="1" ht="20.25" x14ac:dyDescent="0.3">
      <c r="B49" s="175">
        <v>41</v>
      </c>
      <c r="C49" s="176">
        <v>44162</v>
      </c>
      <c r="D49" s="176">
        <v>44162</v>
      </c>
      <c r="E49" s="177" t="s">
        <v>294</v>
      </c>
      <c r="F49" s="177" t="s">
        <v>296</v>
      </c>
      <c r="G49" s="178">
        <v>1</v>
      </c>
      <c r="H49" s="179">
        <v>153.4</v>
      </c>
      <c r="I49" s="175" t="s">
        <v>286</v>
      </c>
      <c r="J49" s="180">
        <v>20</v>
      </c>
      <c r="K49" s="181">
        <v>130</v>
      </c>
      <c r="L49" s="181">
        <f t="shared" si="6"/>
        <v>23.4</v>
      </c>
      <c r="M49" s="181">
        <f t="shared" si="7"/>
        <v>153.4</v>
      </c>
      <c r="N49" s="182">
        <f t="shared" si="2"/>
        <v>3068</v>
      </c>
      <c r="O49" s="182">
        <v>19</v>
      </c>
      <c r="P49" s="181">
        <f t="shared" si="9"/>
        <v>1</v>
      </c>
      <c r="Q49" s="181">
        <f t="shared" si="3"/>
        <v>153.4</v>
      </c>
      <c r="R49" s="183" t="s">
        <v>233</v>
      </c>
      <c r="S49" s="184">
        <f t="shared" si="8"/>
        <v>153.4</v>
      </c>
    </row>
    <row r="50" spans="2:20" s="185" customFormat="1" ht="20.25" x14ac:dyDescent="0.3">
      <c r="B50" s="175">
        <v>42</v>
      </c>
      <c r="C50" s="176" t="s">
        <v>236</v>
      </c>
      <c r="D50" s="176">
        <v>44162</v>
      </c>
      <c r="E50" s="177" t="s">
        <v>297</v>
      </c>
      <c r="F50" s="177" t="s">
        <v>298</v>
      </c>
      <c r="G50" s="178">
        <v>1</v>
      </c>
      <c r="H50" s="179">
        <v>2924.04</v>
      </c>
      <c r="I50" s="175" t="s">
        <v>230</v>
      </c>
      <c r="J50" s="180">
        <v>2</v>
      </c>
      <c r="K50" s="181">
        <v>2478</v>
      </c>
      <c r="L50" s="181">
        <f t="shared" si="6"/>
        <v>446.03999999999996</v>
      </c>
      <c r="M50" s="181">
        <f t="shared" si="7"/>
        <v>2924.04</v>
      </c>
      <c r="N50" s="182">
        <f t="shared" si="2"/>
        <v>5848.08</v>
      </c>
      <c r="O50" s="182">
        <v>1</v>
      </c>
      <c r="P50" s="181">
        <f t="shared" si="9"/>
        <v>1</v>
      </c>
      <c r="Q50" s="181">
        <f t="shared" si="3"/>
        <v>2924.04</v>
      </c>
      <c r="R50" s="183"/>
      <c r="S50" s="184">
        <f t="shared" si="8"/>
        <v>2924.04</v>
      </c>
    </row>
    <row r="51" spans="2:20" s="185" customFormat="1" ht="20.25" x14ac:dyDescent="0.3">
      <c r="B51" s="175">
        <v>43</v>
      </c>
      <c r="C51" s="176">
        <v>43252</v>
      </c>
      <c r="D51" s="176">
        <v>43252</v>
      </c>
      <c r="E51" s="177" t="s">
        <v>299</v>
      </c>
      <c r="F51" s="177" t="s">
        <v>300</v>
      </c>
      <c r="G51" s="178">
        <v>5</v>
      </c>
      <c r="H51" s="179">
        <v>88.5</v>
      </c>
      <c r="I51" s="175" t="s">
        <v>230</v>
      </c>
      <c r="J51" s="180">
        <v>20</v>
      </c>
      <c r="K51" s="181">
        <v>15</v>
      </c>
      <c r="L51" s="181">
        <f t="shared" si="6"/>
        <v>2.6999999999999997</v>
      </c>
      <c r="M51" s="181">
        <f t="shared" si="7"/>
        <v>17.7</v>
      </c>
      <c r="N51" s="182">
        <f t="shared" si="2"/>
        <v>354</v>
      </c>
      <c r="O51" s="182">
        <f>5+1+1+3+3+1+1</f>
        <v>15</v>
      </c>
      <c r="P51" s="181">
        <f>$J51-$O51</f>
        <v>5</v>
      </c>
      <c r="Q51" s="181">
        <f t="shared" si="3"/>
        <v>88.5</v>
      </c>
      <c r="R51" s="183" t="s">
        <v>239</v>
      </c>
      <c r="S51" s="184">
        <f t="shared" si="8"/>
        <v>17.7</v>
      </c>
    </row>
    <row r="52" spans="2:20" s="165" customFormat="1" ht="20.25" x14ac:dyDescent="0.3">
      <c r="B52" s="175">
        <v>44</v>
      </c>
      <c r="C52" s="188">
        <v>45036</v>
      </c>
      <c r="D52" s="176">
        <v>45036</v>
      </c>
      <c r="E52" s="189" t="s">
        <v>301</v>
      </c>
      <c r="F52" s="189" t="s">
        <v>302</v>
      </c>
      <c r="G52" s="178">
        <v>6</v>
      </c>
      <c r="H52" s="179">
        <v>480</v>
      </c>
      <c r="I52" s="191" t="s">
        <v>230</v>
      </c>
      <c r="J52" s="192">
        <v>6</v>
      </c>
      <c r="K52" s="182">
        <v>80</v>
      </c>
      <c r="L52" s="182">
        <f t="shared" si="6"/>
        <v>14.399999999999999</v>
      </c>
      <c r="M52" s="182">
        <f>+K52</f>
        <v>80</v>
      </c>
      <c r="N52" s="182">
        <f>$J52*$M52</f>
        <v>480</v>
      </c>
      <c r="O52" s="182"/>
      <c r="P52" s="182">
        <f>$J52-$O52</f>
        <v>6</v>
      </c>
      <c r="Q52" s="182">
        <f>$P52*$M52</f>
        <v>480</v>
      </c>
      <c r="R52" s="167" t="s">
        <v>258</v>
      </c>
      <c r="S52" s="193"/>
    </row>
    <row r="53" spans="2:20" s="185" customFormat="1" ht="20.25" x14ac:dyDescent="0.3">
      <c r="B53" s="175">
        <v>45</v>
      </c>
      <c r="C53" s="176">
        <v>43609</v>
      </c>
      <c r="D53" s="176">
        <v>43609</v>
      </c>
      <c r="E53" s="177" t="s">
        <v>303</v>
      </c>
      <c r="F53" s="177" t="s">
        <v>304</v>
      </c>
      <c r="G53" s="178">
        <v>24</v>
      </c>
      <c r="H53" s="179">
        <v>5664</v>
      </c>
      <c r="I53" s="175" t="s">
        <v>230</v>
      </c>
      <c r="J53" s="180">
        <v>30</v>
      </c>
      <c r="K53" s="181">
        <v>200</v>
      </c>
      <c r="L53" s="181">
        <f t="shared" si="6"/>
        <v>36</v>
      </c>
      <c r="M53" s="181">
        <f t="shared" si="7"/>
        <v>236</v>
      </c>
      <c r="N53" s="182">
        <f t="shared" si="2"/>
        <v>7080</v>
      </c>
      <c r="O53" s="182">
        <v>6</v>
      </c>
      <c r="P53" s="181">
        <f t="shared" si="9"/>
        <v>24</v>
      </c>
      <c r="Q53" s="181">
        <f t="shared" si="3"/>
        <v>5664</v>
      </c>
      <c r="R53" s="183" t="s">
        <v>233</v>
      </c>
      <c r="S53" s="184">
        <f t="shared" si="8"/>
        <v>236</v>
      </c>
    </row>
    <row r="54" spans="2:20" s="185" customFormat="1" ht="20.25" x14ac:dyDescent="0.3">
      <c r="B54" s="175">
        <v>46</v>
      </c>
      <c r="C54" s="176">
        <v>43830</v>
      </c>
      <c r="D54" s="176">
        <v>43830</v>
      </c>
      <c r="E54" s="177" t="s">
        <v>305</v>
      </c>
      <c r="F54" s="177" t="s">
        <v>306</v>
      </c>
      <c r="G54" s="178">
        <v>1</v>
      </c>
      <c r="H54" s="179">
        <v>10500</v>
      </c>
      <c r="I54" s="175" t="s">
        <v>230</v>
      </c>
      <c r="J54" s="180">
        <v>1</v>
      </c>
      <c r="K54" s="181">
        <f>10500</f>
        <v>10500</v>
      </c>
      <c r="L54" s="181">
        <v>0</v>
      </c>
      <c r="M54" s="181">
        <f t="shared" si="7"/>
        <v>10500</v>
      </c>
      <c r="N54" s="182">
        <f t="shared" si="2"/>
        <v>10500</v>
      </c>
      <c r="O54" s="182">
        <v>0</v>
      </c>
      <c r="P54" s="181">
        <f t="shared" si="9"/>
        <v>1</v>
      </c>
      <c r="Q54" s="181">
        <f t="shared" si="3"/>
        <v>10500</v>
      </c>
      <c r="R54" s="183" t="s">
        <v>307</v>
      </c>
      <c r="S54" s="184">
        <f t="shared" si="8"/>
        <v>10500</v>
      </c>
    </row>
    <row r="55" spans="2:20" s="185" customFormat="1" ht="20.25" x14ac:dyDescent="0.3">
      <c r="B55" s="175">
        <v>47</v>
      </c>
      <c r="C55" s="176">
        <v>43830</v>
      </c>
      <c r="D55" s="176">
        <v>43830</v>
      </c>
      <c r="E55" s="177" t="s">
        <v>308</v>
      </c>
      <c r="F55" s="187" t="s">
        <v>309</v>
      </c>
      <c r="G55" s="178">
        <v>131</v>
      </c>
      <c r="H55" s="179">
        <v>903.9</v>
      </c>
      <c r="I55" s="175" t="s">
        <v>310</v>
      </c>
      <c r="J55" s="180">
        <v>200</v>
      </c>
      <c r="K55" s="181">
        <f>6.9</f>
        <v>6.9</v>
      </c>
      <c r="L55" s="181">
        <v>0</v>
      </c>
      <c r="M55" s="181">
        <f>+K55</f>
        <v>6.9</v>
      </c>
      <c r="N55" s="182">
        <f t="shared" si="2"/>
        <v>1380</v>
      </c>
      <c r="O55" s="182">
        <f>10+10+19+1+1+2+2+2+2+2+2+2+1+3+1+5+2+2</f>
        <v>69</v>
      </c>
      <c r="P55" s="181">
        <f t="shared" si="9"/>
        <v>131</v>
      </c>
      <c r="Q55" s="181">
        <f t="shared" si="3"/>
        <v>903.90000000000009</v>
      </c>
      <c r="R55" s="183" t="s">
        <v>307</v>
      </c>
      <c r="S55" s="184">
        <f t="shared" si="8"/>
        <v>6.9</v>
      </c>
    </row>
    <row r="56" spans="2:20" s="185" customFormat="1" ht="20.25" x14ac:dyDescent="0.3">
      <c r="B56" s="175">
        <v>48</v>
      </c>
      <c r="C56" s="176">
        <v>43830</v>
      </c>
      <c r="D56" s="176">
        <v>43830</v>
      </c>
      <c r="E56" s="177" t="s">
        <v>311</v>
      </c>
      <c r="F56" s="187" t="s">
        <v>312</v>
      </c>
      <c r="G56" s="178">
        <v>189</v>
      </c>
      <c r="H56" s="179">
        <v>1682.1</v>
      </c>
      <c r="I56" s="175" t="s">
        <v>310</v>
      </c>
      <c r="J56" s="180">
        <v>200</v>
      </c>
      <c r="K56" s="181">
        <f>8.9</f>
        <v>8.9</v>
      </c>
      <c r="L56" s="181">
        <v>0</v>
      </c>
      <c r="M56" s="181">
        <f>+K56</f>
        <v>8.9</v>
      </c>
      <c r="N56" s="182">
        <f t="shared" si="2"/>
        <v>1780</v>
      </c>
      <c r="O56" s="182">
        <f>5+3+1+2</f>
        <v>11</v>
      </c>
      <c r="P56" s="181">
        <f t="shared" si="9"/>
        <v>189</v>
      </c>
      <c r="Q56" s="181">
        <f t="shared" si="3"/>
        <v>1682.1000000000001</v>
      </c>
      <c r="R56" s="183" t="s">
        <v>307</v>
      </c>
      <c r="S56" s="184">
        <f t="shared" si="8"/>
        <v>8.9</v>
      </c>
    </row>
    <row r="57" spans="2:20" s="185" customFormat="1" ht="20.25" x14ac:dyDescent="0.3">
      <c r="B57" s="175">
        <v>49</v>
      </c>
      <c r="C57" s="176">
        <v>43609</v>
      </c>
      <c r="D57" s="176">
        <v>43609</v>
      </c>
      <c r="E57" s="177" t="s">
        <v>313</v>
      </c>
      <c r="F57" s="177" t="s">
        <v>314</v>
      </c>
      <c r="G57" s="178">
        <v>7</v>
      </c>
      <c r="H57" s="179">
        <v>1458.31</v>
      </c>
      <c r="I57" s="175" t="s">
        <v>230</v>
      </c>
      <c r="J57" s="180">
        <f>6*12</f>
        <v>72</v>
      </c>
      <c r="K57" s="181">
        <v>208.333</v>
      </c>
      <c r="L57" s="181">
        <v>0</v>
      </c>
      <c r="M57" s="181">
        <v>208.33</v>
      </c>
      <c r="N57" s="182">
        <f t="shared" si="2"/>
        <v>14999.76</v>
      </c>
      <c r="O57" s="182">
        <f>50+12+1+2</f>
        <v>65</v>
      </c>
      <c r="P57" s="181">
        <f t="shared" si="9"/>
        <v>7</v>
      </c>
      <c r="Q57" s="181">
        <f>$K57*P57</f>
        <v>1458.3309999999999</v>
      </c>
      <c r="R57" s="183" t="s">
        <v>233</v>
      </c>
      <c r="S57" s="184">
        <f t="shared" si="8"/>
        <v>208.333</v>
      </c>
    </row>
    <row r="58" spans="2:20" s="185" customFormat="1" ht="20.25" x14ac:dyDescent="0.3">
      <c r="B58" s="175">
        <v>50</v>
      </c>
      <c r="C58" s="176">
        <v>43207</v>
      </c>
      <c r="D58" s="176">
        <v>43207</v>
      </c>
      <c r="E58" s="177" t="s">
        <v>315</v>
      </c>
      <c r="F58" s="177" t="s">
        <v>316</v>
      </c>
      <c r="G58" s="178">
        <v>130</v>
      </c>
      <c r="H58" s="179">
        <v>1625</v>
      </c>
      <c r="I58" s="175" t="s">
        <v>230</v>
      </c>
      <c r="J58" s="180">
        <v>132</v>
      </c>
      <c r="K58" s="181">
        <v>12.5</v>
      </c>
      <c r="L58" s="181">
        <v>0</v>
      </c>
      <c r="M58" s="181">
        <f>+K58+L58</f>
        <v>12.5</v>
      </c>
      <c r="N58" s="182">
        <f t="shared" si="2"/>
        <v>1650</v>
      </c>
      <c r="O58" s="182">
        <f>1+1</f>
        <v>2</v>
      </c>
      <c r="P58" s="181">
        <f t="shared" si="9"/>
        <v>130</v>
      </c>
      <c r="Q58" s="181">
        <f>$P58*$M58</f>
        <v>1625</v>
      </c>
      <c r="R58" s="183" t="s">
        <v>239</v>
      </c>
      <c r="S58" s="184"/>
    </row>
    <row r="59" spans="2:20" s="185" customFormat="1" ht="20.25" x14ac:dyDescent="0.3">
      <c r="B59" s="175">
        <v>51</v>
      </c>
      <c r="C59" s="176" t="s">
        <v>236</v>
      </c>
      <c r="D59" s="176">
        <v>44162</v>
      </c>
      <c r="E59" s="177" t="s">
        <v>313</v>
      </c>
      <c r="F59" s="177" t="s">
        <v>317</v>
      </c>
      <c r="G59" s="178">
        <v>36</v>
      </c>
      <c r="H59" s="179">
        <v>2973.6</v>
      </c>
      <c r="I59" s="175" t="s">
        <v>230</v>
      </c>
      <c r="J59" s="180">
        <f>57</f>
        <v>57</v>
      </c>
      <c r="K59" s="181">
        <v>70</v>
      </c>
      <c r="L59" s="181">
        <f>+K59*18%</f>
        <v>12.6</v>
      </c>
      <c r="M59" s="181">
        <f>+K59+L59</f>
        <v>82.6</v>
      </c>
      <c r="N59" s="182">
        <f t="shared" si="2"/>
        <v>4708.2</v>
      </c>
      <c r="O59" s="182">
        <f>16+1+1+2+1</f>
        <v>21</v>
      </c>
      <c r="P59" s="181">
        <f t="shared" si="9"/>
        <v>36</v>
      </c>
      <c r="Q59" s="181">
        <f>$P59*$M59</f>
        <v>2973.6</v>
      </c>
      <c r="S59" s="184">
        <f t="shared" ref="S59:S63" si="10">Q59/P59</f>
        <v>82.6</v>
      </c>
    </row>
    <row r="60" spans="2:20" s="185" customFormat="1" ht="20.25" x14ac:dyDescent="0.3">
      <c r="B60" s="175">
        <v>52</v>
      </c>
      <c r="C60" s="176">
        <v>43609</v>
      </c>
      <c r="D60" s="176">
        <v>43609</v>
      </c>
      <c r="E60" s="177" t="s">
        <v>315</v>
      </c>
      <c r="F60" s="177" t="s">
        <v>318</v>
      </c>
      <c r="G60" s="178">
        <v>10</v>
      </c>
      <c r="H60" s="179">
        <v>826</v>
      </c>
      <c r="I60" s="175" t="s">
        <v>230</v>
      </c>
      <c r="J60" s="180">
        <f>12+2</f>
        <v>14</v>
      </c>
      <c r="K60" s="181">
        <v>70</v>
      </c>
      <c r="L60" s="181">
        <f>+K60*18%</f>
        <v>12.6</v>
      </c>
      <c r="M60" s="181">
        <f>+K60+L60</f>
        <v>82.6</v>
      </c>
      <c r="N60" s="182">
        <f t="shared" si="2"/>
        <v>1156.3999999999999</v>
      </c>
      <c r="O60" s="182">
        <v>4</v>
      </c>
      <c r="P60" s="181">
        <f t="shared" si="9"/>
        <v>10</v>
      </c>
      <c r="Q60" s="181">
        <f t="shared" ref="Q60:Q81" si="11">$P60*$M60</f>
        <v>826</v>
      </c>
      <c r="R60" s="183"/>
      <c r="S60" s="184">
        <f t="shared" si="10"/>
        <v>82.6</v>
      </c>
    </row>
    <row r="61" spans="2:20" s="185" customFormat="1" ht="20.25" x14ac:dyDescent="0.3">
      <c r="B61" s="175">
        <v>53</v>
      </c>
      <c r="C61" s="176">
        <v>43657</v>
      </c>
      <c r="D61" s="176">
        <v>43657</v>
      </c>
      <c r="E61" s="177" t="s">
        <v>319</v>
      </c>
      <c r="F61" s="177" t="s">
        <v>320</v>
      </c>
      <c r="G61" s="178">
        <v>78</v>
      </c>
      <c r="H61" s="179">
        <v>273</v>
      </c>
      <c r="I61" s="175" t="s">
        <v>321</v>
      </c>
      <c r="J61" s="180">
        <v>500</v>
      </c>
      <c r="K61" s="181">
        <f>3.5</f>
        <v>3.5</v>
      </c>
      <c r="L61" s="181">
        <v>0</v>
      </c>
      <c r="M61" s="181">
        <f>+K61</f>
        <v>3.5</v>
      </c>
      <c r="N61" s="182">
        <f t="shared" si="2"/>
        <v>1750</v>
      </c>
      <c r="O61" s="182">
        <f>2+1+43+5+5+5+2+3+1+2+20+50+25+10+37+1+1+1+1+100+1+1+2+1+1+8+5+32+56</f>
        <v>422</v>
      </c>
      <c r="P61" s="181">
        <f t="shared" si="9"/>
        <v>78</v>
      </c>
      <c r="Q61" s="181">
        <f t="shared" si="11"/>
        <v>273</v>
      </c>
      <c r="R61" s="183" t="s">
        <v>307</v>
      </c>
      <c r="S61" s="184">
        <f t="shared" si="10"/>
        <v>3.5</v>
      </c>
      <c r="T61" s="194"/>
    </row>
    <row r="62" spans="2:20" s="185" customFormat="1" ht="20.25" x14ac:dyDescent="0.3">
      <c r="B62" s="175">
        <v>54</v>
      </c>
      <c r="C62" s="176">
        <v>43252</v>
      </c>
      <c r="D62" s="176">
        <v>43252</v>
      </c>
      <c r="E62" s="177" t="s">
        <v>319</v>
      </c>
      <c r="F62" s="177" t="s">
        <v>322</v>
      </c>
      <c r="G62" s="178">
        <v>426</v>
      </c>
      <c r="H62" s="179">
        <v>1759.38</v>
      </c>
      <c r="I62" s="175" t="s">
        <v>230</v>
      </c>
      <c r="J62" s="180">
        <v>500</v>
      </c>
      <c r="K62" s="181">
        <v>3.5</v>
      </c>
      <c r="L62" s="181">
        <f t="shared" ref="L62:L71" si="12">+K62*18%</f>
        <v>0.63</v>
      </c>
      <c r="M62" s="181">
        <f t="shared" ref="M62:M71" si="13">+K62+L62</f>
        <v>4.13</v>
      </c>
      <c r="N62" s="182">
        <f t="shared" si="2"/>
        <v>2065</v>
      </c>
      <c r="O62" s="182">
        <f>15+1+6+10+20+1+1+20</f>
        <v>74</v>
      </c>
      <c r="P62" s="181">
        <f t="shared" si="9"/>
        <v>426</v>
      </c>
      <c r="Q62" s="181">
        <f t="shared" si="11"/>
        <v>1759.3799999999999</v>
      </c>
      <c r="R62" s="183" t="s">
        <v>307</v>
      </c>
      <c r="S62" s="184">
        <f t="shared" si="10"/>
        <v>4.13</v>
      </c>
      <c r="T62" s="194"/>
    </row>
    <row r="63" spans="2:20" s="185" customFormat="1" ht="20.25" x14ac:dyDescent="0.3">
      <c r="B63" s="175">
        <v>55</v>
      </c>
      <c r="C63" s="176">
        <v>43609</v>
      </c>
      <c r="D63" s="176">
        <v>43609</v>
      </c>
      <c r="E63" s="177" t="s">
        <v>319</v>
      </c>
      <c r="F63" s="177" t="s">
        <v>323</v>
      </c>
      <c r="G63" s="178">
        <v>790</v>
      </c>
      <c r="H63" s="179">
        <v>1957.62</v>
      </c>
      <c r="I63" s="175" t="s">
        <v>230</v>
      </c>
      <c r="J63" s="180">
        <v>800</v>
      </c>
      <c r="K63" s="181">
        <v>2.1</v>
      </c>
      <c r="L63" s="181">
        <f t="shared" si="12"/>
        <v>0.378</v>
      </c>
      <c r="M63" s="181">
        <f t="shared" si="13"/>
        <v>2.4780000000000002</v>
      </c>
      <c r="N63" s="182">
        <f t="shared" si="2"/>
        <v>1982.4</v>
      </c>
      <c r="O63" s="182">
        <v>10</v>
      </c>
      <c r="P63" s="181">
        <f t="shared" si="9"/>
        <v>790</v>
      </c>
      <c r="Q63" s="181">
        <f t="shared" si="11"/>
        <v>1957.6200000000001</v>
      </c>
      <c r="R63" s="183" t="s">
        <v>239</v>
      </c>
      <c r="S63" s="184">
        <f t="shared" si="10"/>
        <v>2.4780000000000002</v>
      </c>
      <c r="T63" s="194"/>
    </row>
    <row r="64" spans="2:20" s="185" customFormat="1" ht="20.25" x14ac:dyDescent="0.3">
      <c r="B64" s="175">
        <v>56</v>
      </c>
      <c r="C64" s="176">
        <v>43207</v>
      </c>
      <c r="D64" s="176">
        <v>43207</v>
      </c>
      <c r="E64" s="177" t="s">
        <v>319</v>
      </c>
      <c r="F64" s="177" t="s">
        <v>324</v>
      </c>
      <c r="G64" s="178">
        <v>137</v>
      </c>
      <c r="H64" s="179">
        <v>969.96</v>
      </c>
      <c r="I64" s="175" t="s">
        <v>230</v>
      </c>
      <c r="J64" s="180">
        <v>200</v>
      </c>
      <c r="K64" s="181">
        <v>6</v>
      </c>
      <c r="L64" s="181">
        <f t="shared" si="12"/>
        <v>1.08</v>
      </c>
      <c r="M64" s="181">
        <f t="shared" si="13"/>
        <v>7.08</v>
      </c>
      <c r="N64" s="182">
        <f t="shared" si="2"/>
        <v>1416</v>
      </c>
      <c r="O64" s="182">
        <f>25+12+5+5+2+2+1+1+1+1+1+1+1+5</f>
        <v>63</v>
      </c>
      <c r="P64" s="181">
        <f t="shared" si="9"/>
        <v>137</v>
      </c>
      <c r="Q64" s="181">
        <f t="shared" si="11"/>
        <v>969.96</v>
      </c>
      <c r="R64" s="183" t="s">
        <v>239</v>
      </c>
      <c r="S64" s="184"/>
      <c r="T64" s="194"/>
    </row>
    <row r="65" spans="2:20" s="185" customFormat="1" ht="20.25" x14ac:dyDescent="0.3">
      <c r="B65" s="175">
        <v>57</v>
      </c>
      <c r="C65" s="176">
        <v>43252</v>
      </c>
      <c r="D65" s="176">
        <v>43252</v>
      </c>
      <c r="E65" s="177" t="s">
        <v>325</v>
      </c>
      <c r="F65" s="177" t="s">
        <v>326</v>
      </c>
      <c r="G65" s="178">
        <v>199</v>
      </c>
      <c r="H65" s="179">
        <v>1408.92</v>
      </c>
      <c r="I65" s="175" t="s">
        <v>230</v>
      </c>
      <c r="J65" s="180">
        <v>200</v>
      </c>
      <c r="K65" s="181">
        <v>6</v>
      </c>
      <c r="L65" s="181">
        <f t="shared" si="12"/>
        <v>1.08</v>
      </c>
      <c r="M65" s="181">
        <f t="shared" si="13"/>
        <v>7.08</v>
      </c>
      <c r="N65" s="182">
        <f t="shared" si="2"/>
        <v>1416</v>
      </c>
      <c r="O65" s="182">
        <v>1</v>
      </c>
      <c r="P65" s="181">
        <f t="shared" si="9"/>
        <v>199</v>
      </c>
      <c r="Q65" s="181">
        <f t="shared" si="11"/>
        <v>1408.92</v>
      </c>
      <c r="R65" s="183" t="s">
        <v>239</v>
      </c>
      <c r="S65" s="184"/>
      <c r="T65" s="194"/>
    </row>
    <row r="66" spans="2:20" s="185" customFormat="1" ht="20.25" x14ac:dyDescent="0.3">
      <c r="B66" s="175">
        <v>58</v>
      </c>
      <c r="C66" s="176" t="s">
        <v>236</v>
      </c>
      <c r="D66" s="176">
        <v>44162</v>
      </c>
      <c r="E66" s="177" t="s">
        <v>327</v>
      </c>
      <c r="F66" s="177" t="s">
        <v>328</v>
      </c>
      <c r="G66" s="178">
        <v>183</v>
      </c>
      <c r="H66" s="179">
        <v>1295.6400000000001</v>
      </c>
      <c r="I66" s="175" t="s">
        <v>230</v>
      </c>
      <c r="J66" s="180">
        <v>200</v>
      </c>
      <c r="K66" s="181">
        <v>6</v>
      </c>
      <c r="L66" s="181">
        <f t="shared" si="12"/>
        <v>1.08</v>
      </c>
      <c r="M66" s="181">
        <f t="shared" si="13"/>
        <v>7.08</v>
      </c>
      <c r="N66" s="182">
        <f t="shared" si="2"/>
        <v>1416</v>
      </c>
      <c r="O66" s="182">
        <f>4+1+10+1+1</f>
        <v>17</v>
      </c>
      <c r="P66" s="181">
        <f t="shared" si="9"/>
        <v>183</v>
      </c>
      <c r="Q66" s="181">
        <f t="shared" si="11"/>
        <v>1295.6400000000001</v>
      </c>
      <c r="R66" s="183" t="s">
        <v>239</v>
      </c>
      <c r="S66" s="184"/>
      <c r="T66" s="194"/>
    </row>
    <row r="67" spans="2:20" s="185" customFormat="1" ht="20.25" x14ac:dyDescent="0.3">
      <c r="B67" s="175">
        <v>59</v>
      </c>
      <c r="C67" s="176">
        <v>43830</v>
      </c>
      <c r="D67" s="176">
        <v>43830</v>
      </c>
      <c r="E67" s="177" t="s">
        <v>329</v>
      </c>
      <c r="F67" s="177" t="s">
        <v>330</v>
      </c>
      <c r="G67" s="178">
        <v>196</v>
      </c>
      <c r="H67" s="179">
        <v>1387.68</v>
      </c>
      <c r="I67" s="175" t="s">
        <v>230</v>
      </c>
      <c r="J67" s="180">
        <v>200</v>
      </c>
      <c r="K67" s="181">
        <v>6</v>
      </c>
      <c r="L67" s="181">
        <f t="shared" si="12"/>
        <v>1.08</v>
      </c>
      <c r="M67" s="181">
        <f t="shared" si="13"/>
        <v>7.08</v>
      </c>
      <c r="N67" s="182">
        <f t="shared" si="2"/>
        <v>1416</v>
      </c>
      <c r="O67" s="182">
        <f>4+0</f>
        <v>4</v>
      </c>
      <c r="P67" s="181">
        <f t="shared" si="9"/>
        <v>196</v>
      </c>
      <c r="Q67" s="181">
        <f t="shared" si="11"/>
        <v>1387.68</v>
      </c>
      <c r="R67" s="183" t="s">
        <v>239</v>
      </c>
      <c r="S67" s="184"/>
      <c r="T67" s="194"/>
    </row>
    <row r="68" spans="2:20" s="185" customFormat="1" ht="20.25" x14ac:dyDescent="0.3">
      <c r="B68" s="175">
        <v>60</v>
      </c>
      <c r="C68" s="176">
        <v>43252</v>
      </c>
      <c r="D68" s="176">
        <v>43252</v>
      </c>
      <c r="E68" s="177" t="s">
        <v>329</v>
      </c>
      <c r="F68" s="177" t="s">
        <v>331</v>
      </c>
      <c r="G68" s="178">
        <v>33</v>
      </c>
      <c r="H68" s="179">
        <v>700.92</v>
      </c>
      <c r="I68" s="175" t="s">
        <v>230</v>
      </c>
      <c r="J68" s="180">
        <v>100</v>
      </c>
      <c r="K68" s="181">
        <v>18</v>
      </c>
      <c r="L68" s="181">
        <f t="shared" si="12"/>
        <v>3.2399999999999998</v>
      </c>
      <c r="M68" s="181">
        <f t="shared" si="13"/>
        <v>21.24</v>
      </c>
      <c r="N68" s="182">
        <f t="shared" si="2"/>
        <v>2124</v>
      </c>
      <c r="O68" s="182">
        <f>1+2+50+2+2+10</f>
        <v>67</v>
      </c>
      <c r="P68" s="181">
        <f t="shared" si="9"/>
        <v>33</v>
      </c>
      <c r="Q68" s="181">
        <f t="shared" si="11"/>
        <v>700.92</v>
      </c>
      <c r="R68" s="183"/>
      <c r="S68" s="184"/>
      <c r="T68" s="194"/>
    </row>
    <row r="69" spans="2:20" s="185" customFormat="1" ht="20.25" x14ac:dyDescent="0.3">
      <c r="B69" s="175">
        <v>61</v>
      </c>
      <c r="C69" s="176" t="s">
        <v>236</v>
      </c>
      <c r="D69" s="176">
        <v>44162</v>
      </c>
      <c r="E69" s="177" t="s">
        <v>325</v>
      </c>
      <c r="F69" s="177" t="s">
        <v>332</v>
      </c>
      <c r="G69" s="178">
        <v>97</v>
      </c>
      <c r="H69" s="179">
        <v>2289.1999999999998</v>
      </c>
      <c r="I69" s="175" t="s">
        <v>230</v>
      </c>
      <c r="J69" s="180">
        <v>400</v>
      </c>
      <c r="K69" s="181">
        <v>20</v>
      </c>
      <c r="L69" s="181">
        <f t="shared" si="12"/>
        <v>3.5999999999999996</v>
      </c>
      <c r="M69" s="181">
        <f t="shared" si="13"/>
        <v>23.6</v>
      </c>
      <c r="N69" s="182">
        <f t="shared" si="2"/>
        <v>9440</v>
      </c>
      <c r="O69" s="182">
        <f>171+100+10+10+2+10</f>
        <v>303</v>
      </c>
      <c r="P69" s="181">
        <f t="shared" si="9"/>
        <v>97</v>
      </c>
      <c r="Q69" s="181">
        <f t="shared" si="11"/>
        <v>2289.2000000000003</v>
      </c>
      <c r="R69" s="183"/>
      <c r="S69" s="184"/>
      <c r="T69" s="194"/>
    </row>
    <row r="70" spans="2:20" s="185" customFormat="1" ht="20.25" x14ac:dyDescent="0.3">
      <c r="B70" s="175">
        <v>62</v>
      </c>
      <c r="C70" s="176">
        <v>43252</v>
      </c>
      <c r="D70" s="176">
        <v>43252</v>
      </c>
      <c r="E70" s="177" t="s">
        <v>325</v>
      </c>
      <c r="F70" s="177" t="s">
        <v>333</v>
      </c>
      <c r="G70" s="178">
        <v>100</v>
      </c>
      <c r="H70" s="179">
        <v>348.1</v>
      </c>
      <c r="I70" s="175" t="s">
        <v>230</v>
      </c>
      <c r="J70" s="180">
        <v>200</v>
      </c>
      <c r="K70" s="181">
        <v>2.95</v>
      </c>
      <c r="L70" s="181">
        <f t="shared" si="12"/>
        <v>0.53100000000000003</v>
      </c>
      <c r="M70" s="181">
        <f t="shared" si="13"/>
        <v>3.4810000000000003</v>
      </c>
      <c r="N70" s="182">
        <f t="shared" si="2"/>
        <v>696.2</v>
      </c>
      <c r="O70" s="182">
        <v>100</v>
      </c>
      <c r="P70" s="181">
        <f t="shared" si="9"/>
        <v>100</v>
      </c>
      <c r="Q70" s="181">
        <f t="shared" si="11"/>
        <v>348.1</v>
      </c>
      <c r="R70" s="183" t="s">
        <v>239</v>
      </c>
      <c r="S70" s="184"/>
      <c r="T70" s="194"/>
    </row>
    <row r="71" spans="2:20" s="185" customFormat="1" ht="20.25" x14ac:dyDescent="0.3">
      <c r="B71" s="175">
        <v>63</v>
      </c>
      <c r="C71" s="176">
        <v>43252</v>
      </c>
      <c r="D71" s="176">
        <v>43252</v>
      </c>
      <c r="E71" s="177" t="s">
        <v>327</v>
      </c>
      <c r="F71" s="177" t="s">
        <v>334</v>
      </c>
      <c r="G71" s="178">
        <v>25</v>
      </c>
      <c r="H71" s="179">
        <v>6107.7464788732404</v>
      </c>
      <c r="I71" s="175" t="s">
        <v>335</v>
      </c>
      <c r="J71" s="180">
        <v>29</v>
      </c>
      <c r="K71" s="181">
        <v>207.04225352112675</v>
      </c>
      <c r="L71" s="181">
        <f t="shared" si="12"/>
        <v>37.267605633802816</v>
      </c>
      <c r="M71" s="181">
        <f t="shared" si="13"/>
        <v>244.30985915492957</v>
      </c>
      <c r="N71" s="182">
        <f t="shared" si="2"/>
        <v>7084.9859154929572</v>
      </c>
      <c r="O71" s="182">
        <f>3+1</f>
        <v>4</v>
      </c>
      <c r="P71" s="181">
        <f t="shared" si="9"/>
        <v>25</v>
      </c>
      <c r="Q71" s="181">
        <f t="shared" si="11"/>
        <v>6107.7464788732395</v>
      </c>
      <c r="R71" s="183"/>
      <c r="S71" s="184">
        <f>Q71/P71</f>
        <v>244.30985915492957</v>
      </c>
      <c r="T71" s="194"/>
    </row>
    <row r="72" spans="2:20" s="185" customFormat="1" ht="20.25" x14ac:dyDescent="0.3">
      <c r="B72" s="175">
        <v>64</v>
      </c>
      <c r="C72" s="176" t="s">
        <v>236</v>
      </c>
      <c r="D72" s="176">
        <v>44162</v>
      </c>
      <c r="E72" s="177" t="s">
        <v>336</v>
      </c>
      <c r="F72" s="177" t="s">
        <v>337</v>
      </c>
      <c r="G72" s="178">
        <v>1485</v>
      </c>
      <c r="H72" s="179">
        <v>11137.5</v>
      </c>
      <c r="I72" s="175" t="s">
        <v>321</v>
      </c>
      <c r="J72" s="180">
        <v>1500</v>
      </c>
      <c r="K72" s="181">
        <f>7.5</f>
        <v>7.5</v>
      </c>
      <c r="L72" s="181">
        <v>0</v>
      </c>
      <c r="M72" s="181">
        <f>+K72</f>
        <v>7.5</v>
      </c>
      <c r="N72" s="182">
        <f t="shared" si="2"/>
        <v>11250</v>
      </c>
      <c r="O72" s="182">
        <f>5+5+5</f>
        <v>15</v>
      </c>
      <c r="P72" s="181">
        <f t="shared" si="9"/>
        <v>1485</v>
      </c>
      <c r="Q72" s="181">
        <f t="shared" si="11"/>
        <v>11137.5</v>
      </c>
      <c r="R72" s="183" t="s">
        <v>307</v>
      </c>
      <c r="S72" s="184">
        <f>Q72/P72</f>
        <v>7.5</v>
      </c>
      <c r="T72" s="194"/>
    </row>
    <row r="73" spans="2:20" s="185" customFormat="1" ht="20.25" x14ac:dyDescent="0.3">
      <c r="B73" s="175">
        <v>65</v>
      </c>
      <c r="C73" s="176" t="s">
        <v>236</v>
      </c>
      <c r="D73" s="176">
        <v>44162</v>
      </c>
      <c r="E73" s="177" t="s">
        <v>336</v>
      </c>
      <c r="F73" s="177" t="s">
        <v>338</v>
      </c>
      <c r="G73" s="178">
        <v>24</v>
      </c>
      <c r="H73" s="179">
        <v>225.14400000000001</v>
      </c>
      <c r="I73" s="175" t="s">
        <v>339</v>
      </c>
      <c r="J73" s="180">
        <v>362</v>
      </c>
      <c r="K73" s="181">
        <v>7.95</v>
      </c>
      <c r="L73" s="181">
        <f t="shared" ref="L73:L81" si="14">+K73*18%</f>
        <v>1.431</v>
      </c>
      <c r="M73" s="181">
        <f t="shared" ref="M73:M82" si="15">+K73+L73</f>
        <v>9.3810000000000002</v>
      </c>
      <c r="N73" s="182">
        <f t="shared" ref="N73:N94" si="16">$J73*$M73</f>
        <v>3395.922</v>
      </c>
      <c r="O73" s="182">
        <f>18+255+6+43+6+10</f>
        <v>338</v>
      </c>
      <c r="P73" s="181">
        <f t="shared" si="9"/>
        <v>24</v>
      </c>
      <c r="Q73" s="181">
        <f t="shared" si="11"/>
        <v>225.14400000000001</v>
      </c>
      <c r="R73" s="183"/>
      <c r="S73" s="184">
        <f>Q73/P73</f>
        <v>9.3810000000000002</v>
      </c>
      <c r="T73" s="194"/>
    </row>
    <row r="74" spans="2:20" s="185" customFormat="1" ht="20.25" x14ac:dyDescent="0.3">
      <c r="B74" s="175">
        <v>66</v>
      </c>
      <c r="C74" s="176" t="s">
        <v>236</v>
      </c>
      <c r="D74" s="176">
        <v>44162</v>
      </c>
      <c r="E74" s="177" t="s">
        <v>340</v>
      </c>
      <c r="F74" s="177" t="s">
        <v>341</v>
      </c>
      <c r="G74" s="178">
        <v>3</v>
      </c>
      <c r="H74" s="179">
        <v>1101.3333333333301</v>
      </c>
      <c r="I74" s="175" t="s">
        <v>286</v>
      </c>
      <c r="J74" s="180">
        <v>15</v>
      </c>
      <c r="K74" s="181">
        <v>311.11111111111109</v>
      </c>
      <c r="L74" s="181">
        <f t="shared" si="14"/>
        <v>55.999999999999993</v>
      </c>
      <c r="M74" s="181">
        <f t="shared" si="15"/>
        <v>367.11111111111109</v>
      </c>
      <c r="N74" s="182">
        <f t="shared" si="16"/>
        <v>5506.6666666666661</v>
      </c>
      <c r="O74" s="182">
        <v>12</v>
      </c>
      <c r="P74" s="181">
        <f t="shared" si="9"/>
        <v>3</v>
      </c>
      <c r="Q74" s="181">
        <f t="shared" si="11"/>
        <v>1101.3333333333333</v>
      </c>
      <c r="R74" s="183"/>
      <c r="S74" s="184">
        <f>Q74/P74</f>
        <v>367.11111111111109</v>
      </c>
    </row>
    <row r="75" spans="2:20" s="165" customFormat="1" ht="20.25" x14ac:dyDescent="0.3">
      <c r="B75" s="175">
        <v>67</v>
      </c>
      <c r="C75" s="188">
        <v>45037</v>
      </c>
      <c r="D75" s="176">
        <v>45037</v>
      </c>
      <c r="E75" s="189" t="s">
        <v>342</v>
      </c>
      <c r="F75" s="189" t="s">
        <v>343</v>
      </c>
      <c r="G75" s="178">
        <v>5</v>
      </c>
      <c r="H75" s="179">
        <v>1652</v>
      </c>
      <c r="I75" s="191" t="s">
        <v>230</v>
      </c>
      <c r="J75" s="192">
        <v>6</v>
      </c>
      <c r="K75" s="182">
        <v>280</v>
      </c>
      <c r="L75" s="182">
        <f t="shared" si="14"/>
        <v>50.4</v>
      </c>
      <c r="M75" s="182">
        <f>+K75+L75</f>
        <v>330.4</v>
      </c>
      <c r="N75" s="182">
        <f t="shared" si="16"/>
        <v>1982.3999999999999</v>
      </c>
      <c r="O75" s="182">
        <v>1</v>
      </c>
      <c r="P75" s="182">
        <f t="shared" si="9"/>
        <v>5</v>
      </c>
      <c r="Q75" s="182">
        <f>$P75*$M75</f>
        <v>1652</v>
      </c>
      <c r="R75" s="167" t="s">
        <v>258</v>
      </c>
      <c r="S75" s="193">
        <f t="shared" ref="S75:S84" si="17">Q75/P75</f>
        <v>330.4</v>
      </c>
    </row>
    <row r="76" spans="2:20" s="185" customFormat="1" ht="20.25" x14ac:dyDescent="0.3">
      <c r="B76" s="175">
        <v>68</v>
      </c>
      <c r="C76" s="176">
        <v>43252</v>
      </c>
      <c r="D76" s="176">
        <v>43252</v>
      </c>
      <c r="E76" s="177" t="s">
        <v>344</v>
      </c>
      <c r="F76" s="177" t="s">
        <v>345</v>
      </c>
      <c r="G76" s="178">
        <v>6</v>
      </c>
      <c r="H76" s="179">
        <v>8496</v>
      </c>
      <c r="I76" s="175" t="s">
        <v>286</v>
      </c>
      <c r="J76" s="180">
        <v>8</v>
      </c>
      <c r="K76" s="181">
        <v>1200</v>
      </c>
      <c r="L76" s="181">
        <f t="shared" si="14"/>
        <v>216</v>
      </c>
      <c r="M76" s="181">
        <f t="shared" si="15"/>
        <v>1416</v>
      </c>
      <c r="N76" s="182">
        <f t="shared" si="16"/>
        <v>11328</v>
      </c>
      <c r="O76" s="182">
        <f>1+1</f>
        <v>2</v>
      </c>
      <c r="P76" s="181">
        <f t="shared" si="9"/>
        <v>6</v>
      </c>
      <c r="Q76" s="181">
        <f t="shared" si="11"/>
        <v>8496</v>
      </c>
      <c r="R76" s="183" t="s">
        <v>233</v>
      </c>
      <c r="S76" s="184">
        <f t="shared" si="17"/>
        <v>1416</v>
      </c>
    </row>
    <row r="77" spans="2:20" s="185" customFormat="1" ht="20.25" x14ac:dyDescent="0.3">
      <c r="B77" s="175">
        <v>69</v>
      </c>
      <c r="C77" s="176">
        <v>43252</v>
      </c>
      <c r="D77" s="176">
        <v>43252</v>
      </c>
      <c r="E77" s="177" t="s">
        <v>346</v>
      </c>
      <c r="F77" s="177" t="s">
        <v>347</v>
      </c>
      <c r="G77" s="178">
        <v>16</v>
      </c>
      <c r="H77" s="179">
        <v>2039.04</v>
      </c>
      <c r="I77" s="175" t="s">
        <v>286</v>
      </c>
      <c r="J77" s="180">
        <v>31</v>
      </c>
      <c r="K77" s="181">
        <v>108.00000000000003</v>
      </c>
      <c r="L77" s="181">
        <f t="shared" si="14"/>
        <v>19.440000000000005</v>
      </c>
      <c r="M77" s="181">
        <f t="shared" si="15"/>
        <v>127.44000000000003</v>
      </c>
      <c r="N77" s="182">
        <f t="shared" si="16"/>
        <v>3950.6400000000008</v>
      </c>
      <c r="O77" s="182">
        <f>13+1+1</f>
        <v>15</v>
      </c>
      <c r="P77" s="181">
        <f t="shared" si="9"/>
        <v>16</v>
      </c>
      <c r="Q77" s="181">
        <f t="shared" si="11"/>
        <v>2039.0400000000004</v>
      </c>
      <c r="R77" s="183"/>
      <c r="S77" s="184">
        <f t="shared" si="17"/>
        <v>127.44000000000003</v>
      </c>
    </row>
    <row r="78" spans="2:20" s="185" customFormat="1" ht="20.25" x14ac:dyDescent="0.3">
      <c r="B78" s="175">
        <v>70</v>
      </c>
      <c r="C78" s="176">
        <v>43318</v>
      </c>
      <c r="D78" s="176">
        <v>43318</v>
      </c>
      <c r="E78" s="177" t="s">
        <v>348</v>
      </c>
      <c r="F78" s="177" t="s">
        <v>349</v>
      </c>
      <c r="G78" s="178">
        <v>2</v>
      </c>
      <c r="H78" s="179">
        <v>8024</v>
      </c>
      <c r="I78" s="175" t="s">
        <v>230</v>
      </c>
      <c r="J78" s="180">
        <v>2</v>
      </c>
      <c r="K78" s="181">
        <v>3400</v>
      </c>
      <c r="L78" s="181">
        <f t="shared" si="14"/>
        <v>612</v>
      </c>
      <c r="M78" s="181">
        <f t="shared" si="15"/>
        <v>4012</v>
      </c>
      <c r="N78" s="182">
        <f t="shared" si="16"/>
        <v>8024</v>
      </c>
      <c r="O78" s="182"/>
      <c r="P78" s="181">
        <f t="shared" si="9"/>
        <v>2</v>
      </c>
      <c r="Q78" s="181">
        <f t="shared" si="11"/>
        <v>8024</v>
      </c>
      <c r="R78" s="183" t="s">
        <v>350</v>
      </c>
      <c r="S78" s="184">
        <f t="shared" si="17"/>
        <v>4012</v>
      </c>
    </row>
    <row r="79" spans="2:20" s="185" customFormat="1" ht="20.25" x14ac:dyDescent="0.3">
      <c r="B79" s="175">
        <v>71</v>
      </c>
      <c r="C79" s="176">
        <v>43609</v>
      </c>
      <c r="D79" s="176">
        <v>43609</v>
      </c>
      <c r="E79" s="177" t="s">
        <v>351</v>
      </c>
      <c r="F79" s="177" t="s">
        <v>352</v>
      </c>
      <c r="G79" s="178">
        <v>24</v>
      </c>
      <c r="H79" s="179">
        <v>226.56</v>
      </c>
      <c r="I79" s="175" t="s">
        <v>230</v>
      </c>
      <c r="J79" s="180">
        <v>75</v>
      </c>
      <c r="K79" s="181">
        <v>8</v>
      </c>
      <c r="L79" s="181">
        <f t="shared" si="14"/>
        <v>1.44</v>
      </c>
      <c r="M79" s="181">
        <f t="shared" si="15"/>
        <v>9.44</v>
      </c>
      <c r="N79" s="182">
        <f t="shared" si="16"/>
        <v>708</v>
      </c>
      <c r="O79" s="182">
        <f>50+1</f>
        <v>51</v>
      </c>
      <c r="P79" s="181">
        <f t="shared" si="9"/>
        <v>24</v>
      </c>
      <c r="Q79" s="181">
        <f t="shared" si="11"/>
        <v>226.56</v>
      </c>
      <c r="R79" s="183" t="s">
        <v>233</v>
      </c>
      <c r="S79" s="184">
        <f t="shared" si="17"/>
        <v>9.44</v>
      </c>
    </row>
    <row r="80" spans="2:20" s="185" customFormat="1" ht="20.25" x14ac:dyDescent="0.3">
      <c r="B80" s="175">
        <v>72</v>
      </c>
      <c r="C80" s="176">
        <v>43252</v>
      </c>
      <c r="D80" s="176">
        <v>43252</v>
      </c>
      <c r="E80" s="177" t="s">
        <v>353</v>
      </c>
      <c r="F80" s="177" t="s">
        <v>354</v>
      </c>
      <c r="G80" s="178">
        <v>190</v>
      </c>
      <c r="H80" s="179">
        <v>1457.3</v>
      </c>
      <c r="I80" s="175" t="s">
        <v>355</v>
      </c>
      <c r="J80" s="180">
        <f>200</f>
        <v>200</v>
      </c>
      <c r="K80" s="181">
        <v>6.5</v>
      </c>
      <c r="L80" s="181">
        <f t="shared" si="14"/>
        <v>1.17</v>
      </c>
      <c r="M80" s="181">
        <f t="shared" si="15"/>
        <v>7.67</v>
      </c>
      <c r="N80" s="182">
        <f t="shared" si="16"/>
        <v>1534</v>
      </c>
      <c r="O80" s="182">
        <v>10</v>
      </c>
      <c r="P80" s="181">
        <f t="shared" si="9"/>
        <v>190</v>
      </c>
      <c r="Q80" s="181">
        <f t="shared" si="11"/>
        <v>1457.3</v>
      </c>
      <c r="R80" s="183"/>
      <c r="S80" s="184">
        <f t="shared" si="17"/>
        <v>7.67</v>
      </c>
    </row>
    <row r="81" spans="2:19" s="185" customFormat="1" ht="20.25" x14ac:dyDescent="0.3">
      <c r="B81" s="175">
        <v>73</v>
      </c>
      <c r="C81" s="176">
        <v>43830</v>
      </c>
      <c r="D81" s="176">
        <v>43830</v>
      </c>
      <c r="E81" s="177" t="s">
        <v>356</v>
      </c>
      <c r="F81" s="177" t="s">
        <v>357</v>
      </c>
      <c r="G81" s="178">
        <v>1783</v>
      </c>
      <c r="H81" s="179">
        <v>2650.9643999999998</v>
      </c>
      <c r="I81" s="175" t="s">
        <v>355</v>
      </c>
      <c r="J81" s="180">
        <f>2158+100</f>
        <v>2258</v>
      </c>
      <c r="K81" s="181">
        <v>1.26</v>
      </c>
      <c r="L81" s="181">
        <f t="shared" si="14"/>
        <v>0.2268</v>
      </c>
      <c r="M81" s="181">
        <f>+K81+L81</f>
        <v>1.4868000000000001</v>
      </c>
      <c r="N81" s="182">
        <f t="shared" si="16"/>
        <v>3357.1944000000003</v>
      </c>
      <c r="O81" s="182">
        <f>158+158+1+158</f>
        <v>475</v>
      </c>
      <c r="P81" s="181">
        <f t="shared" si="9"/>
        <v>1783</v>
      </c>
      <c r="Q81" s="181">
        <f t="shared" si="11"/>
        <v>2650.9644000000003</v>
      </c>
      <c r="S81" s="184">
        <f t="shared" si="17"/>
        <v>1.4868000000000001</v>
      </c>
    </row>
    <row r="82" spans="2:19" s="185" customFormat="1" ht="20.25" x14ac:dyDescent="0.3">
      <c r="B82" s="175">
        <v>74</v>
      </c>
      <c r="C82" s="176">
        <v>43830</v>
      </c>
      <c r="D82" s="176">
        <v>43830</v>
      </c>
      <c r="E82" s="177" t="s">
        <v>356</v>
      </c>
      <c r="F82" s="177" t="s">
        <v>357</v>
      </c>
      <c r="G82" s="178">
        <v>1098</v>
      </c>
      <c r="H82" s="179">
        <v>323.91000000000003</v>
      </c>
      <c r="I82" s="175" t="s">
        <v>355</v>
      </c>
      <c r="J82" s="180">
        <f>1000+100</f>
        <v>1100</v>
      </c>
      <c r="K82" s="181">
        <v>0.25</v>
      </c>
      <c r="L82" s="181">
        <f>+K82*18%</f>
        <v>4.4999999999999998E-2</v>
      </c>
      <c r="M82" s="181">
        <f t="shared" si="15"/>
        <v>0.29499999999999998</v>
      </c>
      <c r="N82" s="182">
        <f>$J82*$M82</f>
        <v>324.5</v>
      </c>
      <c r="O82" s="182">
        <v>2</v>
      </c>
      <c r="P82" s="181">
        <f t="shared" si="9"/>
        <v>1098</v>
      </c>
      <c r="Q82" s="181">
        <f>$P82*$M82</f>
        <v>323.90999999999997</v>
      </c>
      <c r="R82" s="183" t="s">
        <v>233</v>
      </c>
      <c r="S82" s="184">
        <f t="shared" si="17"/>
        <v>0.29499999999999998</v>
      </c>
    </row>
    <row r="83" spans="2:19" s="185" customFormat="1" ht="20.25" x14ac:dyDescent="0.3">
      <c r="B83" s="175">
        <v>75</v>
      </c>
      <c r="C83" s="188">
        <v>45036</v>
      </c>
      <c r="D83" s="176">
        <v>45036</v>
      </c>
      <c r="E83" s="189" t="s">
        <v>358</v>
      </c>
      <c r="F83" s="189" t="s">
        <v>359</v>
      </c>
      <c r="G83" s="178">
        <v>1</v>
      </c>
      <c r="H83" s="179">
        <v>80</v>
      </c>
      <c r="I83" s="191" t="s">
        <v>360</v>
      </c>
      <c r="J83" s="192">
        <v>10</v>
      </c>
      <c r="K83" s="182">
        <v>80</v>
      </c>
      <c r="L83" s="182">
        <v>0</v>
      </c>
      <c r="M83" s="182">
        <f>+K83+L83</f>
        <v>80</v>
      </c>
      <c r="N83" s="182">
        <f>$J83*$M83</f>
        <v>800</v>
      </c>
      <c r="O83" s="182">
        <f>1+2+1+1+2+2</f>
        <v>9</v>
      </c>
      <c r="P83" s="182">
        <f>$J83-$O83</f>
        <v>1</v>
      </c>
      <c r="Q83" s="181">
        <f>$P83*$M83</f>
        <v>80</v>
      </c>
      <c r="R83" s="167" t="s">
        <v>258</v>
      </c>
      <c r="S83" s="184">
        <f t="shared" si="17"/>
        <v>80</v>
      </c>
    </row>
    <row r="84" spans="2:19" s="185" customFormat="1" ht="20.25" x14ac:dyDescent="0.3">
      <c r="B84" s="175">
        <v>76</v>
      </c>
      <c r="C84" s="176">
        <v>43609</v>
      </c>
      <c r="D84" s="176">
        <v>43609</v>
      </c>
      <c r="E84" s="177" t="s">
        <v>361</v>
      </c>
      <c r="F84" s="177" t="s">
        <v>359</v>
      </c>
      <c r="G84" s="178">
        <v>94</v>
      </c>
      <c r="H84" s="179">
        <v>470</v>
      </c>
      <c r="I84" s="175" t="s">
        <v>230</v>
      </c>
      <c r="J84" s="180">
        <f>116*12+240</f>
        <v>1632</v>
      </c>
      <c r="K84" s="181">
        <v>8.33</v>
      </c>
      <c r="L84" s="181">
        <v>0</v>
      </c>
      <c r="M84" s="181">
        <f>3+1+1</f>
        <v>5</v>
      </c>
      <c r="N84" s="182">
        <v>11600</v>
      </c>
      <c r="O84" s="182">
        <f>1+12+1+12+10+12+12+150+24+12+12+12+24+24+24+2+150+1+1+4+3+3+2+3+1+1+3+1+2+1+1+12+2+2+12+3+1+2+12+1+2+4+1+1+1+4+1+100+100+1+6+12+12+4+24+4+1+50+2+100+1+1+10+100+200+100+100+1+2+24+1</f>
        <v>1538</v>
      </c>
      <c r="P84" s="181">
        <f t="shared" si="9"/>
        <v>94</v>
      </c>
      <c r="Q84" s="181">
        <v>11600</v>
      </c>
      <c r="R84" s="183" t="s">
        <v>233</v>
      </c>
      <c r="S84" s="184">
        <f t="shared" si="17"/>
        <v>123.40425531914893</v>
      </c>
    </row>
    <row r="85" spans="2:19" s="185" customFormat="1" ht="20.25" x14ac:dyDescent="0.3">
      <c r="B85" s="175">
        <v>77</v>
      </c>
      <c r="C85" s="176" t="s">
        <v>236</v>
      </c>
      <c r="D85" s="176">
        <v>44162</v>
      </c>
      <c r="E85" s="177" t="s">
        <v>358</v>
      </c>
      <c r="F85" s="177" t="s">
        <v>362</v>
      </c>
      <c r="G85" s="178">
        <v>5</v>
      </c>
      <c r="H85" s="179">
        <v>31.25</v>
      </c>
      <c r="I85" s="175" t="s">
        <v>230</v>
      </c>
      <c r="J85" s="180">
        <v>24</v>
      </c>
      <c r="K85" s="181">
        <v>6.25</v>
      </c>
      <c r="L85" s="181">
        <v>0</v>
      </c>
      <c r="M85" s="181">
        <f>+K85+L85</f>
        <v>6.25</v>
      </c>
      <c r="N85" s="182">
        <f>$J85*$M85</f>
        <v>150</v>
      </c>
      <c r="O85" s="182">
        <f>12+1+4+1+1</f>
        <v>19</v>
      </c>
      <c r="P85" s="181">
        <f t="shared" si="9"/>
        <v>5</v>
      </c>
      <c r="Q85" s="181">
        <f>$P85*$M85</f>
        <v>31.25</v>
      </c>
      <c r="R85" s="183" t="s">
        <v>239</v>
      </c>
      <c r="S85" s="184"/>
    </row>
    <row r="86" spans="2:19" s="185" customFormat="1" ht="20.25" x14ac:dyDescent="0.3">
      <c r="B86" s="175">
        <v>78</v>
      </c>
      <c r="C86" s="176">
        <v>43318</v>
      </c>
      <c r="D86" s="176">
        <v>43318</v>
      </c>
      <c r="E86" s="177" t="s">
        <v>363</v>
      </c>
      <c r="F86" s="177" t="s">
        <v>364</v>
      </c>
      <c r="G86" s="178">
        <v>1</v>
      </c>
      <c r="H86" s="179">
        <v>17.7</v>
      </c>
      <c r="I86" s="175" t="s">
        <v>230</v>
      </c>
      <c r="J86" s="180">
        <v>30</v>
      </c>
      <c r="K86" s="181">
        <v>15</v>
      </c>
      <c r="L86" s="181">
        <f>+K86*18%</f>
        <v>2.6999999999999997</v>
      </c>
      <c r="M86" s="181">
        <f>+K86+L86</f>
        <v>17.7</v>
      </c>
      <c r="N86" s="182">
        <f>$J86*$M86</f>
        <v>531</v>
      </c>
      <c r="O86" s="182">
        <f>28+1</f>
        <v>29</v>
      </c>
      <c r="P86" s="181">
        <f t="shared" si="9"/>
        <v>1</v>
      </c>
      <c r="Q86" s="181">
        <f>$P86*$M86</f>
        <v>17.7</v>
      </c>
      <c r="R86" s="183"/>
      <c r="S86" s="184">
        <f>Q86/P86</f>
        <v>17.7</v>
      </c>
    </row>
    <row r="87" spans="2:19" s="165" customFormat="1" ht="20.25" x14ac:dyDescent="0.3">
      <c r="B87" s="175">
        <v>79</v>
      </c>
      <c r="C87" s="188">
        <v>45036</v>
      </c>
      <c r="D87" s="176">
        <v>45036</v>
      </c>
      <c r="E87" s="189" t="s">
        <v>365</v>
      </c>
      <c r="F87" s="189" t="s">
        <v>366</v>
      </c>
      <c r="G87" s="178">
        <v>6</v>
      </c>
      <c r="H87" s="179">
        <v>420</v>
      </c>
      <c r="I87" s="191" t="s">
        <v>230</v>
      </c>
      <c r="J87" s="195">
        <v>6</v>
      </c>
      <c r="K87" s="182">
        <v>70</v>
      </c>
      <c r="L87" s="182">
        <v>0</v>
      </c>
      <c r="M87" s="182">
        <f t="shared" ref="M87:M140" si="18">+K87+L87</f>
        <v>70</v>
      </c>
      <c r="N87" s="182">
        <f t="shared" ref="N87:N150" si="19">$J87*$M87</f>
        <v>420</v>
      </c>
      <c r="O87" s="182"/>
      <c r="P87" s="182">
        <f>$J87-$O87</f>
        <v>6</v>
      </c>
      <c r="Q87" s="182">
        <f>$P87*$M87</f>
        <v>420</v>
      </c>
      <c r="R87" s="167" t="s">
        <v>258</v>
      </c>
    </row>
    <row r="88" spans="2:19" s="185" customFormat="1" ht="20.25" x14ac:dyDescent="0.3">
      <c r="B88" s="175">
        <v>80</v>
      </c>
      <c r="C88" s="176" t="s">
        <v>236</v>
      </c>
      <c r="D88" s="176">
        <v>44162</v>
      </c>
      <c r="E88" s="177" t="s">
        <v>367</v>
      </c>
      <c r="F88" s="177" t="s">
        <v>368</v>
      </c>
      <c r="G88" s="178">
        <v>159</v>
      </c>
      <c r="H88" s="179">
        <v>34615.89</v>
      </c>
      <c r="I88" s="175" t="s">
        <v>230</v>
      </c>
      <c r="J88" s="180">
        <v>200</v>
      </c>
      <c r="K88" s="181">
        <v>184.5</v>
      </c>
      <c r="L88" s="181">
        <f>+K88*18%</f>
        <v>33.21</v>
      </c>
      <c r="M88" s="181">
        <f t="shared" si="18"/>
        <v>217.71</v>
      </c>
      <c r="N88" s="182">
        <f t="shared" si="19"/>
        <v>43542</v>
      </c>
      <c r="O88" s="182">
        <f>4+15+10+12</f>
        <v>41</v>
      </c>
      <c r="P88" s="181">
        <f t="shared" si="9"/>
        <v>159</v>
      </c>
      <c r="Q88" s="181">
        <f t="shared" ref="Q88:Q151" si="20">$P88*$M88</f>
        <v>34615.89</v>
      </c>
      <c r="R88" s="183" t="s">
        <v>369</v>
      </c>
      <c r="S88" s="184">
        <f t="shared" ref="S88:S101" si="21">Q88/P88</f>
        <v>217.71</v>
      </c>
    </row>
    <row r="89" spans="2:19" s="185" customFormat="1" ht="20.25" x14ac:dyDescent="0.3">
      <c r="B89" s="175">
        <v>81</v>
      </c>
      <c r="C89" s="176">
        <v>44162</v>
      </c>
      <c r="D89" s="176">
        <v>44162</v>
      </c>
      <c r="E89" s="177" t="s">
        <v>370</v>
      </c>
      <c r="F89" s="177" t="s">
        <v>371</v>
      </c>
      <c r="G89" s="178">
        <v>22</v>
      </c>
      <c r="H89" s="179">
        <v>908.6</v>
      </c>
      <c r="I89" s="175" t="s">
        <v>230</v>
      </c>
      <c r="J89" s="180">
        <v>60</v>
      </c>
      <c r="K89" s="181">
        <v>35</v>
      </c>
      <c r="L89" s="181">
        <f>+K89*18%</f>
        <v>6.3</v>
      </c>
      <c r="M89" s="181">
        <f t="shared" si="18"/>
        <v>41.3</v>
      </c>
      <c r="N89" s="182">
        <f t="shared" si="19"/>
        <v>2478</v>
      </c>
      <c r="O89" s="182">
        <f>3+6+2+2+1+1+1+1+1+1+1+4+5+3+5+1</f>
        <v>38</v>
      </c>
      <c r="P89" s="181">
        <f t="shared" si="9"/>
        <v>22</v>
      </c>
      <c r="Q89" s="181">
        <f t="shared" si="20"/>
        <v>908.59999999999991</v>
      </c>
      <c r="R89" s="183" t="s">
        <v>372</v>
      </c>
      <c r="S89" s="184">
        <f t="shared" si="21"/>
        <v>41.3</v>
      </c>
    </row>
    <row r="90" spans="2:19" s="185" customFormat="1" ht="20.25" x14ac:dyDescent="0.3">
      <c r="B90" s="175">
        <v>82</v>
      </c>
      <c r="C90" s="176">
        <v>43609</v>
      </c>
      <c r="D90" s="176">
        <v>43609</v>
      </c>
      <c r="E90" s="177" t="s">
        <v>373</v>
      </c>
      <c r="F90" s="177" t="s">
        <v>374</v>
      </c>
      <c r="G90" s="178">
        <v>52</v>
      </c>
      <c r="H90" s="179">
        <v>1104.48</v>
      </c>
      <c r="I90" s="175" t="s">
        <v>230</v>
      </c>
      <c r="J90" s="180">
        <f>60+24</f>
        <v>84</v>
      </c>
      <c r="K90" s="181">
        <v>18</v>
      </c>
      <c r="L90" s="181">
        <f>+K90*18%</f>
        <v>3.2399999999999998</v>
      </c>
      <c r="M90" s="181">
        <f t="shared" si="18"/>
        <v>21.24</v>
      </c>
      <c r="N90" s="182">
        <f t="shared" si="19"/>
        <v>1784.1599999999999</v>
      </c>
      <c r="O90" s="182">
        <f>6+4+6+6+1+1+1+2+5</f>
        <v>32</v>
      </c>
      <c r="P90" s="181">
        <f t="shared" si="9"/>
        <v>52</v>
      </c>
      <c r="Q90" s="181">
        <f t="shared" si="20"/>
        <v>1104.48</v>
      </c>
      <c r="R90" s="183" t="s">
        <v>372</v>
      </c>
      <c r="S90" s="184">
        <f t="shared" si="21"/>
        <v>21.240000000000002</v>
      </c>
    </row>
    <row r="91" spans="2:19" s="185" customFormat="1" ht="20.25" x14ac:dyDescent="0.3">
      <c r="B91" s="175">
        <v>83</v>
      </c>
      <c r="C91" s="176">
        <v>43830</v>
      </c>
      <c r="D91" s="176">
        <v>43830</v>
      </c>
      <c r="E91" s="177" t="s">
        <v>375</v>
      </c>
      <c r="F91" s="177" t="s">
        <v>376</v>
      </c>
      <c r="G91" s="178">
        <v>1</v>
      </c>
      <c r="H91" s="179">
        <v>500</v>
      </c>
      <c r="I91" s="175" t="s">
        <v>230</v>
      </c>
      <c r="J91" s="180">
        <v>5</v>
      </c>
      <c r="K91" s="181">
        <v>500</v>
      </c>
      <c r="L91" s="181">
        <v>0</v>
      </c>
      <c r="M91" s="181">
        <f t="shared" si="18"/>
        <v>500</v>
      </c>
      <c r="N91" s="182">
        <f t="shared" si="19"/>
        <v>2500</v>
      </c>
      <c r="O91" s="182">
        <f>2+1+1</f>
        <v>4</v>
      </c>
      <c r="P91" s="181">
        <f t="shared" si="9"/>
        <v>1</v>
      </c>
      <c r="Q91" s="181">
        <f t="shared" si="20"/>
        <v>500</v>
      </c>
      <c r="R91" s="183" t="s">
        <v>233</v>
      </c>
      <c r="S91" s="184">
        <f t="shared" si="21"/>
        <v>500</v>
      </c>
    </row>
    <row r="92" spans="2:19" s="185" customFormat="1" ht="20.25" x14ac:dyDescent="0.3">
      <c r="B92" s="175">
        <v>84</v>
      </c>
      <c r="C92" s="176">
        <v>43657</v>
      </c>
      <c r="D92" s="176">
        <v>43657</v>
      </c>
      <c r="E92" s="177" t="s">
        <v>375</v>
      </c>
      <c r="F92" s="177" t="s">
        <v>376</v>
      </c>
      <c r="G92" s="178">
        <v>13</v>
      </c>
      <c r="H92" s="179">
        <v>7748</v>
      </c>
      <c r="I92" s="175" t="s">
        <v>230</v>
      </c>
      <c r="J92" s="180">
        <v>15</v>
      </c>
      <c r="K92" s="181">
        <f>596</f>
        <v>596</v>
      </c>
      <c r="L92" s="181">
        <v>0</v>
      </c>
      <c r="M92" s="181">
        <f t="shared" si="18"/>
        <v>596</v>
      </c>
      <c r="N92" s="182">
        <f t="shared" si="19"/>
        <v>8940</v>
      </c>
      <c r="O92" s="182">
        <f>1+1</f>
        <v>2</v>
      </c>
      <c r="P92" s="181">
        <f t="shared" si="9"/>
        <v>13</v>
      </c>
      <c r="Q92" s="181">
        <f t="shared" si="20"/>
        <v>7748</v>
      </c>
      <c r="R92" s="183" t="s">
        <v>307</v>
      </c>
      <c r="S92" s="184">
        <f t="shared" si="21"/>
        <v>596</v>
      </c>
    </row>
    <row r="93" spans="2:19" s="185" customFormat="1" ht="20.25" x14ac:dyDescent="0.3">
      <c r="B93" s="175">
        <v>85</v>
      </c>
      <c r="C93" s="176">
        <v>43318</v>
      </c>
      <c r="D93" s="176">
        <v>43318</v>
      </c>
      <c r="E93" s="177" t="s">
        <v>377</v>
      </c>
      <c r="F93" s="177" t="s">
        <v>378</v>
      </c>
      <c r="G93" s="178">
        <v>21</v>
      </c>
      <c r="H93" s="179">
        <v>4956</v>
      </c>
      <c r="I93" s="175" t="s">
        <v>230</v>
      </c>
      <c r="J93" s="180">
        <v>33</v>
      </c>
      <c r="K93" s="181">
        <v>200</v>
      </c>
      <c r="L93" s="181">
        <f t="shared" ref="L93:L97" si="22">+K93*18%</f>
        <v>36</v>
      </c>
      <c r="M93" s="181">
        <f t="shared" si="18"/>
        <v>236</v>
      </c>
      <c r="N93" s="182">
        <f t="shared" si="19"/>
        <v>7788</v>
      </c>
      <c r="O93" s="182">
        <f>3+2+2+2+1+2</f>
        <v>12</v>
      </c>
      <c r="P93" s="181">
        <f t="shared" si="9"/>
        <v>21</v>
      </c>
      <c r="Q93" s="181">
        <f t="shared" si="20"/>
        <v>4956</v>
      </c>
      <c r="R93" s="183"/>
      <c r="S93" s="184">
        <f t="shared" si="21"/>
        <v>236</v>
      </c>
    </row>
    <row r="94" spans="2:19" s="185" customFormat="1" ht="20.25" x14ac:dyDescent="0.3">
      <c r="B94" s="175">
        <v>86</v>
      </c>
      <c r="C94" s="176">
        <v>43318</v>
      </c>
      <c r="D94" s="176">
        <v>43318</v>
      </c>
      <c r="E94" s="177" t="s">
        <v>379</v>
      </c>
      <c r="F94" s="177" t="s">
        <v>380</v>
      </c>
      <c r="G94" s="178">
        <v>12</v>
      </c>
      <c r="H94" s="179">
        <v>1628.5416</v>
      </c>
      <c r="I94" s="175" t="s">
        <v>230</v>
      </c>
      <c r="J94" s="180">
        <f>1+12</f>
        <v>13</v>
      </c>
      <c r="K94" s="181">
        <v>115.01</v>
      </c>
      <c r="L94" s="181">
        <f t="shared" si="22"/>
        <v>20.701799999999999</v>
      </c>
      <c r="M94" s="181">
        <f t="shared" si="18"/>
        <v>135.71180000000001</v>
      </c>
      <c r="N94" s="182">
        <f t="shared" si="19"/>
        <v>1764.2534000000001</v>
      </c>
      <c r="O94" s="182">
        <v>1</v>
      </c>
      <c r="P94" s="181">
        <f t="shared" si="9"/>
        <v>12</v>
      </c>
      <c r="Q94" s="181">
        <f t="shared" si="20"/>
        <v>1628.5416</v>
      </c>
      <c r="S94" s="184">
        <f t="shared" si="21"/>
        <v>135.71180000000001</v>
      </c>
    </row>
    <row r="95" spans="2:19" s="185" customFormat="1" ht="20.25" x14ac:dyDescent="0.3">
      <c r="B95" s="175">
        <v>87</v>
      </c>
      <c r="C95" s="176">
        <v>43609</v>
      </c>
      <c r="D95" s="176">
        <v>43609</v>
      </c>
      <c r="E95" s="177" t="s">
        <v>381</v>
      </c>
      <c r="F95" s="177" t="s">
        <v>382</v>
      </c>
      <c r="G95" s="178">
        <v>11</v>
      </c>
      <c r="H95" s="179">
        <v>1298</v>
      </c>
      <c r="I95" s="175" t="s">
        <v>230</v>
      </c>
      <c r="J95" s="180">
        <f>4+12</f>
        <v>16</v>
      </c>
      <c r="K95" s="181">
        <v>100</v>
      </c>
      <c r="L95" s="181">
        <f t="shared" si="22"/>
        <v>18</v>
      </c>
      <c r="M95" s="181">
        <f t="shared" si="18"/>
        <v>118</v>
      </c>
      <c r="N95" s="182">
        <f t="shared" si="19"/>
        <v>1888</v>
      </c>
      <c r="O95" s="182">
        <f>1+2+1+1</f>
        <v>5</v>
      </c>
      <c r="P95" s="181">
        <f t="shared" si="9"/>
        <v>11</v>
      </c>
      <c r="Q95" s="181">
        <f t="shared" si="20"/>
        <v>1298</v>
      </c>
      <c r="R95" s="183"/>
      <c r="S95" s="184">
        <f t="shared" si="21"/>
        <v>118</v>
      </c>
    </row>
    <row r="96" spans="2:19" s="185" customFormat="1" ht="20.25" x14ac:dyDescent="0.3">
      <c r="B96" s="175">
        <v>88</v>
      </c>
      <c r="C96" s="176">
        <v>43318</v>
      </c>
      <c r="D96" s="176">
        <v>43318</v>
      </c>
      <c r="E96" s="177" t="s">
        <v>377</v>
      </c>
      <c r="F96" s="177" t="s">
        <v>383</v>
      </c>
      <c r="G96" s="178">
        <v>1</v>
      </c>
      <c r="H96" s="179">
        <v>112.1</v>
      </c>
      <c r="I96" s="175" t="s">
        <v>230</v>
      </c>
      <c r="J96" s="180">
        <v>10</v>
      </c>
      <c r="K96" s="181">
        <v>95</v>
      </c>
      <c r="L96" s="181">
        <f t="shared" si="22"/>
        <v>17.099999999999998</v>
      </c>
      <c r="M96" s="181">
        <f t="shared" si="18"/>
        <v>112.1</v>
      </c>
      <c r="N96" s="182">
        <f t="shared" si="19"/>
        <v>1121</v>
      </c>
      <c r="O96" s="182">
        <f>2+1+1+2+1+2</f>
        <v>9</v>
      </c>
      <c r="P96" s="181">
        <f t="shared" si="9"/>
        <v>1</v>
      </c>
      <c r="Q96" s="181">
        <f t="shared" si="20"/>
        <v>112.1</v>
      </c>
      <c r="R96" s="183" t="s">
        <v>233</v>
      </c>
      <c r="S96" s="184">
        <f t="shared" si="21"/>
        <v>112.1</v>
      </c>
    </row>
    <row r="97" spans="2:19" s="185" customFormat="1" ht="20.25" x14ac:dyDescent="0.3">
      <c r="B97" s="175">
        <v>89</v>
      </c>
      <c r="C97" s="176">
        <v>43318</v>
      </c>
      <c r="D97" s="176">
        <v>43318</v>
      </c>
      <c r="E97" s="177" t="s">
        <v>384</v>
      </c>
      <c r="F97" s="177" t="s">
        <v>385</v>
      </c>
      <c r="G97" s="178">
        <v>9</v>
      </c>
      <c r="H97" s="179">
        <v>2124</v>
      </c>
      <c r="I97" s="175" t="s">
        <v>230</v>
      </c>
      <c r="J97" s="180">
        <v>20</v>
      </c>
      <c r="K97" s="181">
        <v>200</v>
      </c>
      <c r="L97" s="181">
        <f t="shared" si="22"/>
        <v>36</v>
      </c>
      <c r="M97" s="181">
        <f t="shared" si="18"/>
        <v>236</v>
      </c>
      <c r="N97" s="182">
        <f t="shared" si="19"/>
        <v>4720</v>
      </c>
      <c r="O97" s="182">
        <f>1+1+2+1+6</f>
        <v>11</v>
      </c>
      <c r="P97" s="181">
        <f t="shared" si="9"/>
        <v>9</v>
      </c>
      <c r="Q97" s="181">
        <f t="shared" si="20"/>
        <v>2124</v>
      </c>
      <c r="R97" s="183"/>
      <c r="S97" s="184">
        <f t="shared" si="21"/>
        <v>236</v>
      </c>
    </row>
    <row r="98" spans="2:19" s="185" customFormat="1" ht="20.25" x14ac:dyDescent="0.3">
      <c r="B98" s="175">
        <v>90</v>
      </c>
      <c r="C98" s="176">
        <v>44014</v>
      </c>
      <c r="D98" s="176">
        <v>44014</v>
      </c>
      <c r="E98" s="177" t="s">
        <v>386</v>
      </c>
      <c r="F98" s="177" t="s">
        <v>387</v>
      </c>
      <c r="G98" s="178">
        <v>4</v>
      </c>
      <c r="H98" s="179">
        <v>448.4</v>
      </c>
      <c r="I98" s="175" t="s">
        <v>230</v>
      </c>
      <c r="J98" s="180">
        <v>10</v>
      </c>
      <c r="K98" s="181">
        <v>95</v>
      </c>
      <c r="L98" s="181">
        <f>$K98*18%</f>
        <v>17.099999999999998</v>
      </c>
      <c r="M98" s="181">
        <f t="shared" si="18"/>
        <v>112.1</v>
      </c>
      <c r="N98" s="182">
        <f t="shared" si="19"/>
        <v>1121</v>
      </c>
      <c r="O98" s="182">
        <f>2+2+2</f>
        <v>6</v>
      </c>
      <c r="P98" s="181">
        <f t="shared" si="9"/>
        <v>4</v>
      </c>
      <c r="Q98" s="181">
        <f t="shared" si="20"/>
        <v>448.4</v>
      </c>
      <c r="R98" s="183" t="s">
        <v>233</v>
      </c>
      <c r="S98" s="184">
        <f t="shared" si="21"/>
        <v>112.1</v>
      </c>
    </row>
    <row r="99" spans="2:19" s="185" customFormat="1" ht="20.25" x14ac:dyDescent="0.3">
      <c r="B99" s="175">
        <v>91</v>
      </c>
      <c r="C99" s="176">
        <v>43318</v>
      </c>
      <c r="D99" s="176">
        <v>43318</v>
      </c>
      <c r="E99" s="177" t="s">
        <v>377</v>
      </c>
      <c r="F99" s="177" t="s">
        <v>388</v>
      </c>
      <c r="G99" s="178">
        <v>15</v>
      </c>
      <c r="H99" s="179">
        <v>2301</v>
      </c>
      <c r="I99" s="175" t="s">
        <v>230</v>
      </c>
      <c r="J99" s="180">
        <v>27</v>
      </c>
      <c r="K99" s="181">
        <v>130</v>
      </c>
      <c r="L99" s="181">
        <f>+K99*18%</f>
        <v>23.4</v>
      </c>
      <c r="M99" s="181">
        <f t="shared" si="18"/>
        <v>153.4</v>
      </c>
      <c r="N99" s="182">
        <f t="shared" si="19"/>
        <v>4141.8</v>
      </c>
      <c r="O99" s="182">
        <f>1+1+1+3+6</f>
        <v>12</v>
      </c>
      <c r="P99" s="181">
        <f t="shared" si="9"/>
        <v>15</v>
      </c>
      <c r="Q99" s="181">
        <f t="shared" si="20"/>
        <v>2301</v>
      </c>
      <c r="R99" s="183"/>
      <c r="S99" s="184">
        <f t="shared" si="21"/>
        <v>153.4</v>
      </c>
    </row>
    <row r="100" spans="2:19" s="185" customFormat="1" ht="20.25" x14ac:dyDescent="0.3">
      <c r="B100" s="175">
        <v>92</v>
      </c>
      <c r="C100" s="176">
        <v>43609</v>
      </c>
      <c r="D100" s="176">
        <v>43609</v>
      </c>
      <c r="E100" s="177" t="s">
        <v>379</v>
      </c>
      <c r="F100" s="177" t="s">
        <v>389</v>
      </c>
      <c r="G100" s="178">
        <v>10</v>
      </c>
      <c r="H100" s="179">
        <v>1770</v>
      </c>
      <c r="I100" s="175" t="s">
        <v>230</v>
      </c>
      <c r="J100" s="180">
        <v>10</v>
      </c>
      <c r="K100" s="181">
        <v>150</v>
      </c>
      <c r="L100" s="181">
        <f>+K100*18%</f>
        <v>27</v>
      </c>
      <c r="M100" s="181">
        <f t="shared" si="18"/>
        <v>177</v>
      </c>
      <c r="N100" s="182">
        <f t="shared" si="19"/>
        <v>1770</v>
      </c>
      <c r="O100" s="182"/>
      <c r="P100" s="181">
        <f t="shared" si="9"/>
        <v>10</v>
      </c>
      <c r="Q100" s="181">
        <f t="shared" si="20"/>
        <v>1770</v>
      </c>
      <c r="R100" s="183" t="s">
        <v>233</v>
      </c>
      <c r="S100" s="184">
        <f t="shared" si="21"/>
        <v>177</v>
      </c>
    </row>
    <row r="101" spans="2:19" s="185" customFormat="1" ht="20.25" x14ac:dyDescent="0.3">
      <c r="B101" s="175">
        <v>93</v>
      </c>
      <c r="C101" s="176">
        <v>43609</v>
      </c>
      <c r="D101" s="176">
        <v>43609</v>
      </c>
      <c r="E101" s="177" t="s">
        <v>377</v>
      </c>
      <c r="F101" s="177" t="s">
        <v>390</v>
      </c>
      <c r="G101" s="178">
        <v>22</v>
      </c>
      <c r="H101" s="179">
        <v>3115.2</v>
      </c>
      <c r="I101" s="175" t="s">
        <v>230</v>
      </c>
      <c r="J101" s="180">
        <v>22</v>
      </c>
      <c r="K101" s="181">
        <v>120</v>
      </c>
      <c r="L101" s="181">
        <f>+K101*18%</f>
        <v>21.599999999999998</v>
      </c>
      <c r="M101" s="181">
        <f t="shared" si="18"/>
        <v>141.6</v>
      </c>
      <c r="N101" s="182">
        <f t="shared" si="19"/>
        <v>3115.2</v>
      </c>
      <c r="O101" s="182"/>
      <c r="P101" s="181">
        <f t="shared" si="9"/>
        <v>22</v>
      </c>
      <c r="Q101" s="181">
        <f t="shared" si="20"/>
        <v>3115.2</v>
      </c>
      <c r="R101" s="183"/>
      <c r="S101" s="184">
        <f t="shared" si="21"/>
        <v>141.6</v>
      </c>
    </row>
    <row r="102" spans="2:19" s="165" customFormat="1" ht="20.25" x14ac:dyDescent="0.3">
      <c r="B102" s="175">
        <v>94</v>
      </c>
      <c r="C102" s="188">
        <v>45036</v>
      </c>
      <c r="D102" s="176">
        <v>45036</v>
      </c>
      <c r="E102" s="189" t="s">
        <v>391</v>
      </c>
      <c r="F102" s="189" t="s">
        <v>392</v>
      </c>
      <c r="G102" s="178">
        <v>3</v>
      </c>
      <c r="H102" s="179">
        <v>2655</v>
      </c>
      <c r="I102" s="191" t="s">
        <v>230</v>
      </c>
      <c r="J102" s="192">
        <v>12</v>
      </c>
      <c r="K102" s="182">
        <v>750</v>
      </c>
      <c r="L102" s="182">
        <f t="shared" ref="L102:L118" si="23">+K102*18%</f>
        <v>135</v>
      </c>
      <c r="M102" s="182">
        <f>+K102+L102</f>
        <v>885</v>
      </c>
      <c r="N102" s="182">
        <f>$J102*$M102</f>
        <v>10620</v>
      </c>
      <c r="O102" s="182">
        <f>1+1+2+3+1+1</f>
        <v>9</v>
      </c>
      <c r="P102" s="182">
        <f>$J102-$O102</f>
        <v>3</v>
      </c>
      <c r="Q102" s="182">
        <f>$P102*$M102</f>
        <v>2655</v>
      </c>
      <c r="R102" s="167" t="s">
        <v>258</v>
      </c>
      <c r="S102" s="193"/>
    </row>
    <row r="103" spans="2:19" s="165" customFormat="1" ht="20.25" x14ac:dyDescent="0.3">
      <c r="B103" s="175">
        <v>95</v>
      </c>
      <c r="C103" s="188">
        <v>45036</v>
      </c>
      <c r="D103" s="176">
        <v>45036</v>
      </c>
      <c r="E103" s="189" t="s">
        <v>393</v>
      </c>
      <c r="F103" s="189" t="s">
        <v>394</v>
      </c>
      <c r="G103" s="178">
        <v>3</v>
      </c>
      <c r="H103" s="179">
        <v>283.2</v>
      </c>
      <c r="I103" s="191" t="s">
        <v>230</v>
      </c>
      <c r="J103" s="192">
        <v>6</v>
      </c>
      <c r="K103" s="182">
        <v>80</v>
      </c>
      <c r="L103" s="182">
        <f t="shared" si="23"/>
        <v>14.399999999999999</v>
      </c>
      <c r="M103" s="182">
        <f>+K103+L103</f>
        <v>94.4</v>
      </c>
      <c r="N103" s="182">
        <f>$J103*$M103</f>
        <v>566.40000000000009</v>
      </c>
      <c r="O103" s="182">
        <f>1+1+1</f>
        <v>3</v>
      </c>
      <c r="P103" s="182">
        <f>$J103-$O103</f>
        <v>3</v>
      </c>
      <c r="Q103" s="182">
        <f>$P103*$M103</f>
        <v>283.20000000000005</v>
      </c>
      <c r="R103" s="167" t="s">
        <v>258</v>
      </c>
      <c r="S103" s="193"/>
    </row>
    <row r="104" spans="2:19" s="185" customFormat="1" ht="20.25" x14ac:dyDescent="0.3">
      <c r="B104" s="175">
        <v>96</v>
      </c>
      <c r="C104" s="176">
        <v>43252</v>
      </c>
      <c r="D104" s="176">
        <v>43252</v>
      </c>
      <c r="E104" s="177" t="s">
        <v>395</v>
      </c>
      <c r="F104" s="177" t="s">
        <v>396</v>
      </c>
      <c r="G104" s="178">
        <v>1</v>
      </c>
      <c r="H104" s="179">
        <v>1851.42</v>
      </c>
      <c r="I104" s="175" t="s">
        <v>397</v>
      </c>
      <c r="J104" s="180">
        <v>4</v>
      </c>
      <c r="K104" s="181">
        <v>1569</v>
      </c>
      <c r="L104" s="181">
        <f t="shared" si="23"/>
        <v>282.42</v>
      </c>
      <c r="M104" s="181">
        <f t="shared" si="18"/>
        <v>1851.42</v>
      </c>
      <c r="N104" s="182">
        <f t="shared" si="19"/>
        <v>7405.68</v>
      </c>
      <c r="O104" s="182">
        <f>1+1+1</f>
        <v>3</v>
      </c>
      <c r="P104" s="181">
        <f t="shared" si="9"/>
        <v>1</v>
      </c>
      <c r="Q104" s="181">
        <f t="shared" si="20"/>
        <v>1851.42</v>
      </c>
      <c r="R104" s="183"/>
      <c r="S104" s="184">
        <f>Q104/P104</f>
        <v>1851.42</v>
      </c>
    </row>
    <row r="105" spans="2:19" s="165" customFormat="1" ht="20.25" x14ac:dyDescent="0.3">
      <c r="B105" s="175">
        <v>97</v>
      </c>
      <c r="C105" s="188" t="s">
        <v>398</v>
      </c>
      <c r="D105" s="176">
        <v>44180</v>
      </c>
      <c r="E105" s="189" t="s">
        <v>399</v>
      </c>
      <c r="F105" s="189" t="s">
        <v>400</v>
      </c>
      <c r="G105" s="190">
        <v>1</v>
      </c>
      <c r="H105" s="179">
        <v>2950</v>
      </c>
      <c r="I105" s="191" t="s">
        <v>230</v>
      </c>
      <c r="J105" s="192">
        <v>4</v>
      </c>
      <c r="K105" s="182">
        <v>2500</v>
      </c>
      <c r="L105" s="182">
        <f t="shared" si="23"/>
        <v>450</v>
      </c>
      <c r="M105" s="182">
        <f t="shared" si="18"/>
        <v>2950</v>
      </c>
      <c r="N105" s="182">
        <f t="shared" si="19"/>
        <v>11800</v>
      </c>
      <c r="O105" s="182">
        <f>1+1+1</f>
        <v>3</v>
      </c>
      <c r="P105" s="182">
        <f t="shared" si="9"/>
        <v>1</v>
      </c>
      <c r="Q105" s="182">
        <f t="shared" si="20"/>
        <v>2950</v>
      </c>
      <c r="R105" s="167" t="s">
        <v>401</v>
      </c>
      <c r="S105" s="193"/>
    </row>
    <row r="106" spans="2:19" s="165" customFormat="1" ht="20.25" x14ac:dyDescent="0.3">
      <c r="B106" s="175">
        <v>98</v>
      </c>
      <c r="C106" s="188">
        <v>45090</v>
      </c>
      <c r="D106" s="176">
        <v>45090</v>
      </c>
      <c r="E106" s="189" t="s">
        <v>402</v>
      </c>
      <c r="F106" s="189" t="s">
        <v>403</v>
      </c>
      <c r="G106" s="190">
        <v>3</v>
      </c>
      <c r="H106" s="179">
        <v>4513.5</v>
      </c>
      <c r="I106" s="191" t="s">
        <v>230</v>
      </c>
      <c r="J106" s="192">
        <v>4</v>
      </c>
      <c r="K106" s="182">
        <v>1275</v>
      </c>
      <c r="L106" s="182">
        <f t="shared" si="23"/>
        <v>229.5</v>
      </c>
      <c r="M106" s="182">
        <f t="shared" si="18"/>
        <v>1504.5</v>
      </c>
      <c r="N106" s="182">
        <f t="shared" si="19"/>
        <v>6018</v>
      </c>
      <c r="O106" s="182">
        <v>1</v>
      </c>
      <c r="P106" s="182">
        <f t="shared" si="9"/>
        <v>3</v>
      </c>
      <c r="Q106" s="182">
        <f t="shared" si="20"/>
        <v>4513.5</v>
      </c>
      <c r="R106" s="167" t="s">
        <v>404</v>
      </c>
      <c r="S106" s="193"/>
    </row>
    <row r="107" spans="2:19" s="165" customFormat="1" ht="20.25" x14ac:dyDescent="0.3">
      <c r="B107" s="175">
        <v>99</v>
      </c>
      <c r="C107" s="188">
        <v>45036</v>
      </c>
      <c r="D107" s="176">
        <v>45036</v>
      </c>
      <c r="E107" s="189" t="s">
        <v>405</v>
      </c>
      <c r="F107" s="189" t="s">
        <v>406</v>
      </c>
      <c r="G107" s="190">
        <v>1</v>
      </c>
      <c r="H107" s="179">
        <v>826</v>
      </c>
      <c r="I107" s="191" t="s">
        <v>230</v>
      </c>
      <c r="J107" s="192">
        <v>10</v>
      </c>
      <c r="K107" s="182">
        <v>700</v>
      </c>
      <c r="L107" s="182">
        <f t="shared" si="23"/>
        <v>126</v>
      </c>
      <c r="M107" s="182">
        <f t="shared" si="18"/>
        <v>826</v>
      </c>
      <c r="N107" s="182">
        <f t="shared" si="19"/>
        <v>8260</v>
      </c>
      <c r="O107" s="182">
        <v>9</v>
      </c>
      <c r="P107" s="182">
        <f t="shared" si="9"/>
        <v>1</v>
      </c>
      <c r="Q107" s="182">
        <f t="shared" si="20"/>
        <v>826</v>
      </c>
      <c r="R107" s="167" t="s">
        <v>258</v>
      </c>
      <c r="S107" s="193"/>
    </row>
    <row r="108" spans="2:19" s="165" customFormat="1" ht="20.25" x14ac:dyDescent="0.3">
      <c r="B108" s="175">
        <v>100</v>
      </c>
      <c r="C108" s="188">
        <v>45036</v>
      </c>
      <c r="D108" s="176">
        <v>45036</v>
      </c>
      <c r="E108" s="189" t="s">
        <v>407</v>
      </c>
      <c r="F108" s="189" t="s">
        <v>408</v>
      </c>
      <c r="G108" s="190">
        <v>3</v>
      </c>
      <c r="H108" s="179">
        <v>70.8</v>
      </c>
      <c r="I108" s="191" t="s">
        <v>230</v>
      </c>
      <c r="J108" s="192">
        <v>6</v>
      </c>
      <c r="K108" s="182">
        <v>20</v>
      </c>
      <c r="L108" s="182">
        <f t="shared" si="23"/>
        <v>3.5999999999999996</v>
      </c>
      <c r="M108" s="182">
        <f t="shared" si="18"/>
        <v>23.6</v>
      </c>
      <c r="N108" s="182">
        <f t="shared" si="19"/>
        <v>141.60000000000002</v>
      </c>
      <c r="O108" s="182">
        <f>1+1+1</f>
        <v>3</v>
      </c>
      <c r="P108" s="182">
        <f t="shared" ref="P108:P171" si="24">$J108-$O108</f>
        <v>3</v>
      </c>
      <c r="Q108" s="182">
        <f t="shared" si="20"/>
        <v>70.800000000000011</v>
      </c>
      <c r="R108" s="167" t="s">
        <v>258</v>
      </c>
      <c r="S108" s="193"/>
    </row>
    <row r="109" spans="2:19" s="165" customFormat="1" ht="20.25" x14ac:dyDescent="0.3">
      <c r="B109" s="175">
        <v>101</v>
      </c>
      <c r="C109" s="188">
        <v>45036</v>
      </c>
      <c r="D109" s="176">
        <v>45036</v>
      </c>
      <c r="E109" s="189" t="s">
        <v>409</v>
      </c>
      <c r="F109" s="189" t="s">
        <v>410</v>
      </c>
      <c r="G109" s="190">
        <v>2</v>
      </c>
      <c r="H109" s="179">
        <v>1534</v>
      </c>
      <c r="I109" s="191" t="s">
        <v>411</v>
      </c>
      <c r="J109" s="192">
        <v>2</v>
      </c>
      <c r="K109" s="182">
        <v>650</v>
      </c>
      <c r="L109" s="182">
        <f t="shared" si="23"/>
        <v>117</v>
      </c>
      <c r="M109" s="182">
        <f t="shared" si="18"/>
        <v>767</v>
      </c>
      <c r="N109" s="182">
        <f t="shared" si="19"/>
        <v>1534</v>
      </c>
      <c r="O109" s="182"/>
      <c r="P109" s="182">
        <f t="shared" si="24"/>
        <v>2</v>
      </c>
      <c r="Q109" s="182">
        <f t="shared" si="20"/>
        <v>1534</v>
      </c>
      <c r="R109" s="167" t="s">
        <v>258</v>
      </c>
      <c r="S109" s="193">
        <f>Q109/P109</f>
        <v>767</v>
      </c>
    </row>
    <row r="110" spans="2:19" s="185" customFormat="1" ht="20.25" x14ac:dyDescent="0.3">
      <c r="B110" s="175">
        <v>102</v>
      </c>
      <c r="C110" s="176">
        <v>43252</v>
      </c>
      <c r="D110" s="176">
        <v>43252</v>
      </c>
      <c r="E110" s="177" t="s">
        <v>412</v>
      </c>
      <c r="F110" s="177" t="s">
        <v>413</v>
      </c>
      <c r="G110" s="190">
        <v>1</v>
      </c>
      <c r="H110" s="179">
        <v>973.5</v>
      </c>
      <c r="I110" s="175" t="s">
        <v>230</v>
      </c>
      <c r="J110" s="180">
        <v>4</v>
      </c>
      <c r="K110" s="181">
        <v>825</v>
      </c>
      <c r="L110" s="181">
        <f t="shared" si="23"/>
        <v>148.5</v>
      </c>
      <c r="M110" s="181">
        <f t="shared" si="18"/>
        <v>973.5</v>
      </c>
      <c r="N110" s="182">
        <f t="shared" si="19"/>
        <v>3894</v>
      </c>
      <c r="O110" s="182">
        <f>2+1</f>
        <v>3</v>
      </c>
      <c r="P110" s="181">
        <f t="shared" si="24"/>
        <v>1</v>
      </c>
      <c r="Q110" s="181">
        <f t="shared" si="20"/>
        <v>973.5</v>
      </c>
      <c r="R110" s="183"/>
      <c r="S110" s="184">
        <f>Q110/P110</f>
        <v>973.5</v>
      </c>
    </row>
    <row r="111" spans="2:19" s="165" customFormat="1" ht="20.25" x14ac:dyDescent="0.3">
      <c r="B111" s="175">
        <v>103</v>
      </c>
      <c r="C111" s="188">
        <v>45036</v>
      </c>
      <c r="D111" s="176">
        <v>45036</v>
      </c>
      <c r="E111" s="189" t="s">
        <v>414</v>
      </c>
      <c r="F111" s="189" t="s">
        <v>415</v>
      </c>
      <c r="G111" s="190">
        <v>6</v>
      </c>
      <c r="H111" s="179">
        <v>354</v>
      </c>
      <c r="I111" s="191" t="s">
        <v>230</v>
      </c>
      <c r="J111" s="192">
        <v>10</v>
      </c>
      <c r="K111" s="182">
        <v>50</v>
      </c>
      <c r="L111" s="182">
        <f t="shared" si="23"/>
        <v>9</v>
      </c>
      <c r="M111" s="182">
        <f t="shared" si="18"/>
        <v>59</v>
      </c>
      <c r="N111" s="182">
        <f t="shared" si="19"/>
        <v>590</v>
      </c>
      <c r="O111" s="182">
        <f>2+2</f>
        <v>4</v>
      </c>
      <c r="P111" s="182">
        <f t="shared" si="24"/>
        <v>6</v>
      </c>
      <c r="Q111" s="182">
        <f t="shared" si="20"/>
        <v>354</v>
      </c>
      <c r="R111" s="167" t="s">
        <v>258</v>
      </c>
      <c r="S111" s="193"/>
    </row>
    <row r="112" spans="2:19" s="165" customFormat="1" ht="20.25" x14ac:dyDescent="0.3">
      <c r="B112" s="175">
        <v>104</v>
      </c>
      <c r="C112" s="188">
        <v>45036</v>
      </c>
      <c r="D112" s="176">
        <v>45036</v>
      </c>
      <c r="E112" s="189" t="s">
        <v>416</v>
      </c>
      <c r="F112" s="189" t="s">
        <v>417</v>
      </c>
      <c r="G112" s="190">
        <v>10</v>
      </c>
      <c r="H112" s="179">
        <v>590</v>
      </c>
      <c r="I112" s="191" t="s">
        <v>230</v>
      </c>
      <c r="J112" s="192">
        <v>80</v>
      </c>
      <c r="K112" s="182">
        <v>50</v>
      </c>
      <c r="L112" s="182">
        <f t="shared" si="23"/>
        <v>9</v>
      </c>
      <c r="M112" s="182">
        <f t="shared" si="18"/>
        <v>59</v>
      </c>
      <c r="N112" s="182">
        <f t="shared" si="19"/>
        <v>4720</v>
      </c>
      <c r="O112" s="182">
        <f>2+4+4+1+1+2+1+2+2+1+4+3+2+2+2+6+4+2+2+2+2+2+2+2+1+1+10+1</f>
        <v>70</v>
      </c>
      <c r="P112" s="182">
        <f t="shared" si="24"/>
        <v>10</v>
      </c>
      <c r="Q112" s="182">
        <f t="shared" si="20"/>
        <v>590</v>
      </c>
      <c r="R112" s="167" t="s">
        <v>401</v>
      </c>
      <c r="S112" s="193"/>
    </row>
    <row r="113" spans="2:19" s="185" customFormat="1" ht="20.25" x14ac:dyDescent="0.3">
      <c r="B113" s="175">
        <v>105</v>
      </c>
      <c r="C113" s="176">
        <v>44162</v>
      </c>
      <c r="D113" s="176">
        <v>44162</v>
      </c>
      <c r="E113" s="177" t="s">
        <v>418</v>
      </c>
      <c r="F113" s="177" t="s">
        <v>419</v>
      </c>
      <c r="G113" s="178">
        <v>7</v>
      </c>
      <c r="H113" s="179">
        <v>1239</v>
      </c>
      <c r="I113" s="175" t="s">
        <v>230</v>
      </c>
      <c r="J113" s="180">
        <v>10</v>
      </c>
      <c r="K113" s="181">
        <v>150</v>
      </c>
      <c r="L113" s="181">
        <f t="shared" si="23"/>
        <v>27</v>
      </c>
      <c r="M113" s="181">
        <f t="shared" si="18"/>
        <v>177</v>
      </c>
      <c r="N113" s="182">
        <f t="shared" si="19"/>
        <v>1770</v>
      </c>
      <c r="O113" s="182">
        <f>1+1+1</f>
        <v>3</v>
      </c>
      <c r="P113" s="181">
        <f t="shared" si="24"/>
        <v>7</v>
      </c>
      <c r="Q113" s="181">
        <f t="shared" si="20"/>
        <v>1239</v>
      </c>
      <c r="R113" s="183" t="s">
        <v>233</v>
      </c>
      <c r="S113" s="184">
        <f>Q113/P113</f>
        <v>177</v>
      </c>
    </row>
    <row r="114" spans="2:19" s="165" customFormat="1" ht="20.25" x14ac:dyDescent="0.3">
      <c r="B114" s="175">
        <v>106</v>
      </c>
      <c r="C114" s="188">
        <v>45036</v>
      </c>
      <c r="D114" s="176">
        <v>45036</v>
      </c>
      <c r="E114" s="189" t="s">
        <v>420</v>
      </c>
      <c r="F114" s="189" t="s">
        <v>421</v>
      </c>
      <c r="G114" s="178">
        <v>6</v>
      </c>
      <c r="H114" s="179">
        <v>708</v>
      </c>
      <c r="I114" s="191" t="s">
        <v>230</v>
      </c>
      <c r="J114" s="192">
        <v>6</v>
      </c>
      <c r="K114" s="182">
        <v>100</v>
      </c>
      <c r="L114" s="182">
        <f>+K114*18%</f>
        <v>18</v>
      </c>
      <c r="M114" s="182">
        <f t="shared" si="18"/>
        <v>118</v>
      </c>
      <c r="N114" s="182">
        <f t="shared" si="19"/>
        <v>708</v>
      </c>
      <c r="O114" s="182"/>
      <c r="P114" s="182">
        <f>$J114-$O114</f>
        <v>6</v>
      </c>
      <c r="Q114" s="182">
        <f t="shared" si="20"/>
        <v>708</v>
      </c>
      <c r="R114" s="167" t="s">
        <v>258</v>
      </c>
      <c r="S114" s="193">
        <f>Q114/P114</f>
        <v>118</v>
      </c>
    </row>
    <row r="115" spans="2:19" s="185" customFormat="1" ht="20.25" x14ac:dyDescent="0.3">
      <c r="B115" s="175">
        <v>107</v>
      </c>
      <c r="C115" s="176">
        <v>43830</v>
      </c>
      <c r="D115" s="176">
        <v>43830</v>
      </c>
      <c r="E115" s="177" t="s">
        <v>422</v>
      </c>
      <c r="F115" s="177" t="s">
        <v>423</v>
      </c>
      <c r="G115" s="178">
        <v>2</v>
      </c>
      <c r="H115" s="179">
        <v>200.6</v>
      </c>
      <c r="I115" s="175" t="s">
        <v>230</v>
      </c>
      <c r="J115" s="180">
        <v>5</v>
      </c>
      <c r="K115" s="181">
        <v>85</v>
      </c>
      <c r="L115" s="181">
        <f t="shared" si="23"/>
        <v>15.299999999999999</v>
      </c>
      <c r="M115" s="181">
        <f t="shared" si="18"/>
        <v>100.3</v>
      </c>
      <c r="N115" s="182">
        <f t="shared" si="19"/>
        <v>501.5</v>
      </c>
      <c r="O115" s="182">
        <v>3</v>
      </c>
      <c r="P115" s="181">
        <f t="shared" si="24"/>
        <v>2</v>
      </c>
      <c r="Q115" s="181">
        <f t="shared" si="20"/>
        <v>200.6</v>
      </c>
      <c r="R115" s="183" t="s">
        <v>239</v>
      </c>
      <c r="S115" s="184"/>
    </row>
    <row r="116" spans="2:19" s="165" customFormat="1" ht="20.25" x14ac:dyDescent="0.3">
      <c r="B116" s="175">
        <v>108</v>
      </c>
      <c r="C116" s="188">
        <v>45036</v>
      </c>
      <c r="D116" s="176">
        <v>45036</v>
      </c>
      <c r="E116" s="189" t="s">
        <v>424</v>
      </c>
      <c r="F116" s="189" t="s">
        <v>425</v>
      </c>
      <c r="G116" s="178">
        <v>6</v>
      </c>
      <c r="H116" s="179">
        <v>2548.8000000000002</v>
      </c>
      <c r="I116" s="191" t="s">
        <v>230</v>
      </c>
      <c r="J116" s="192">
        <v>6</v>
      </c>
      <c r="K116" s="182">
        <v>360</v>
      </c>
      <c r="L116" s="182">
        <f t="shared" si="23"/>
        <v>64.8</v>
      </c>
      <c r="M116" s="182">
        <f t="shared" si="18"/>
        <v>424.8</v>
      </c>
      <c r="N116" s="182">
        <f t="shared" si="19"/>
        <v>2548.8000000000002</v>
      </c>
      <c r="O116" s="182"/>
      <c r="P116" s="182">
        <f t="shared" si="24"/>
        <v>6</v>
      </c>
      <c r="Q116" s="182">
        <f t="shared" si="20"/>
        <v>2548.8000000000002</v>
      </c>
      <c r="R116" s="167" t="s">
        <v>258</v>
      </c>
      <c r="S116" s="193">
        <f>Q116/P116</f>
        <v>424.8</v>
      </c>
    </row>
    <row r="117" spans="2:19" s="185" customFormat="1" ht="20.25" x14ac:dyDescent="0.3">
      <c r="B117" s="175">
        <v>109</v>
      </c>
      <c r="C117" s="176">
        <v>43830</v>
      </c>
      <c r="D117" s="176">
        <v>43830</v>
      </c>
      <c r="E117" s="177" t="s">
        <v>426</v>
      </c>
      <c r="F117" s="177" t="s">
        <v>427</v>
      </c>
      <c r="G117" s="178">
        <v>3</v>
      </c>
      <c r="H117" s="179">
        <v>279.66000000000003</v>
      </c>
      <c r="I117" s="175" t="s">
        <v>230</v>
      </c>
      <c r="J117" s="180">
        <v>5</v>
      </c>
      <c r="K117" s="181">
        <v>79</v>
      </c>
      <c r="L117" s="181">
        <f t="shared" si="23"/>
        <v>14.219999999999999</v>
      </c>
      <c r="M117" s="181">
        <f t="shared" si="18"/>
        <v>93.22</v>
      </c>
      <c r="N117" s="182">
        <f t="shared" si="19"/>
        <v>466.1</v>
      </c>
      <c r="O117" s="182">
        <f>1+1</f>
        <v>2</v>
      </c>
      <c r="P117" s="181">
        <f t="shared" si="24"/>
        <v>3</v>
      </c>
      <c r="Q117" s="181">
        <f t="shared" si="20"/>
        <v>279.65999999999997</v>
      </c>
      <c r="R117" s="183"/>
      <c r="S117" s="184">
        <f>Q117/P117</f>
        <v>93.219999999999985</v>
      </c>
    </row>
    <row r="118" spans="2:19" s="185" customFormat="1" ht="20.25" x14ac:dyDescent="0.3">
      <c r="B118" s="175">
        <v>110</v>
      </c>
      <c r="C118" s="176">
        <v>44162</v>
      </c>
      <c r="D118" s="176">
        <v>44162</v>
      </c>
      <c r="E118" s="177" t="s">
        <v>428</v>
      </c>
      <c r="F118" s="177" t="s">
        <v>429</v>
      </c>
      <c r="G118" s="178">
        <v>70</v>
      </c>
      <c r="H118" s="179">
        <v>22549.8</v>
      </c>
      <c r="I118" s="175" t="s">
        <v>230</v>
      </c>
      <c r="J118" s="180">
        <v>702</v>
      </c>
      <c r="K118" s="181">
        <v>273</v>
      </c>
      <c r="L118" s="181">
        <f t="shared" si="23"/>
        <v>49.14</v>
      </c>
      <c r="M118" s="181">
        <f t="shared" si="18"/>
        <v>322.14</v>
      </c>
      <c r="N118" s="182">
        <f t="shared" si="19"/>
        <v>226142.28</v>
      </c>
      <c r="O118" s="182">
        <f>443+2+1+20+2+6+2+20+30+10+20+2+38+2+6+10+4+2+2+2+3+5</f>
        <v>632</v>
      </c>
      <c r="P118" s="181">
        <f t="shared" si="24"/>
        <v>70</v>
      </c>
      <c r="Q118" s="181">
        <f t="shared" si="20"/>
        <v>22549.8</v>
      </c>
      <c r="R118" s="183"/>
      <c r="S118" s="184">
        <f>Q118/P118</f>
        <v>322.14</v>
      </c>
    </row>
    <row r="119" spans="2:19" s="185" customFormat="1" ht="20.25" x14ac:dyDescent="0.3">
      <c r="B119" s="175">
        <v>111</v>
      </c>
      <c r="C119" s="176">
        <v>43609</v>
      </c>
      <c r="D119" s="176">
        <v>43609</v>
      </c>
      <c r="E119" s="177" t="s">
        <v>430</v>
      </c>
      <c r="F119" s="177" t="s">
        <v>431</v>
      </c>
      <c r="G119" s="178">
        <v>11</v>
      </c>
      <c r="H119" s="179">
        <v>324.5</v>
      </c>
      <c r="I119" s="175" t="s">
        <v>230</v>
      </c>
      <c r="J119" s="180">
        <f>60+10</f>
        <v>70</v>
      </c>
      <c r="K119" s="181">
        <v>25</v>
      </c>
      <c r="L119" s="181">
        <f>+K119*18%</f>
        <v>4.5</v>
      </c>
      <c r="M119" s="181">
        <f t="shared" si="18"/>
        <v>29.5</v>
      </c>
      <c r="N119" s="182">
        <f t="shared" si="19"/>
        <v>2065</v>
      </c>
      <c r="O119" s="182">
        <f>6+4+5+1+1+1+12+1+1+1+12+4+6+1+1+2</f>
        <v>59</v>
      </c>
      <c r="P119" s="181">
        <f t="shared" si="24"/>
        <v>11</v>
      </c>
      <c r="Q119" s="181">
        <f t="shared" si="20"/>
        <v>324.5</v>
      </c>
      <c r="R119" s="183" t="s">
        <v>239</v>
      </c>
      <c r="S119" s="184"/>
    </row>
    <row r="120" spans="2:19" s="185" customFormat="1" ht="20.25" x14ac:dyDescent="0.3">
      <c r="B120" s="175">
        <v>112</v>
      </c>
      <c r="C120" s="176">
        <v>43609</v>
      </c>
      <c r="D120" s="176">
        <v>43609</v>
      </c>
      <c r="E120" s="177" t="s">
        <v>432</v>
      </c>
      <c r="F120" s="177" t="s">
        <v>433</v>
      </c>
      <c r="G120" s="178">
        <v>24</v>
      </c>
      <c r="H120" s="179">
        <v>1800</v>
      </c>
      <c r="I120" s="175" t="s">
        <v>230</v>
      </c>
      <c r="J120" s="180">
        <v>40</v>
      </c>
      <c r="K120" s="181">
        <f>75</f>
        <v>75</v>
      </c>
      <c r="L120" s="181">
        <v>0</v>
      </c>
      <c r="M120" s="181">
        <f t="shared" si="18"/>
        <v>75</v>
      </c>
      <c r="N120" s="182">
        <f t="shared" si="19"/>
        <v>3000</v>
      </c>
      <c r="O120" s="182">
        <f>3+5+1+1+1+1+1+1+2</f>
        <v>16</v>
      </c>
      <c r="P120" s="181">
        <f t="shared" si="24"/>
        <v>24</v>
      </c>
      <c r="Q120" s="181">
        <f t="shared" si="20"/>
        <v>1800</v>
      </c>
      <c r="R120" s="183" t="s">
        <v>307</v>
      </c>
      <c r="S120" s="184">
        <f>Q120/P120</f>
        <v>75</v>
      </c>
    </row>
    <row r="121" spans="2:19" s="185" customFormat="1" ht="20.25" x14ac:dyDescent="0.3">
      <c r="B121" s="175">
        <v>113</v>
      </c>
      <c r="C121" s="176">
        <v>43609</v>
      </c>
      <c r="D121" s="176">
        <v>43609</v>
      </c>
      <c r="E121" s="177" t="s">
        <v>434</v>
      </c>
      <c r="F121" s="177" t="s">
        <v>435</v>
      </c>
      <c r="G121" s="178">
        <v>1</v>
      </c>
      <c r="H121" s="179">
        <v>65.489999999999995</v>
      </c>
      <c r="I121" s="175" t="s">
        <v>230</v>
      </c>
      <c r="J121" s="180">
        <v>3</v>
      </c>
      <c r="K121" s="181">
        <v>55.5</v>
      </c>
      <c r="L121" s="181">
        <f t="shared" ref="L121:L126" si="25">+K121*18%</f>
        <v>9.99</v>
      </c>
      <c r="M121" s="181">
        <f t="shared" si="18"/>
        <v>65.489999999999995</v>
      </c>
      <c r="N121" s="182">
        <f t="shared" si="19"/>
        <v>196.46999999999997</v>
      </c>
      <c r="O121" s="182">
        <f>1+1</f>
        <v>2</v>
      </c>
      <c r="P121" s="181">
        <f t="shared" si="24"/>
        <v>1</v>
      </c>
      <c r="Q121" s="181">
        <f t="shared" si="20"/>
        <v>65.489999999999995</v>
      </c>
      <c r="R121" s="183"/>
      <c r="S121" s="184">
        <f>Q121/P121</f>
        <v>65.489999999999995</v>
      </c>
    </row>
    <row r="122" spans="2:19" s="185" customFormat="1" ht="20.25" x14ac:dyDescent="0.3">
      <c r="B122" s="175">
        <v>114</v>
      </c>
      <c r="C122" s="176">
        <v>43830</v>
      </c>
      <c r="D122" s="176">
        <v>43830</v>
      </c>
      <c r="E122" s="177" t="s">
        <v>436</v>
      </c>
      <c r="F122" s="177" t="s">
        <v>437</v>
      </c>
      <c r="G122" s="178">
        <v>54</v>
      </c>
      <c r="H122" s="179">
        <v>7009.2</v>
      </c>
      <c r="I122" s="175" t="s">
        <v>230</v>
      </c>
      <c r="J122" s="180">
        <v>60</v>
      </c>
      <c r="K122" s="181">
        <v>110</v>
      </c>
      <c r="L122" s="181">
        <f t="shared" si="25"/>
        <v>19.8</v>
      </c>
      <c r="M122" s="181">
        <f t="shared" si="18"/>
        <v>129.80000000000001</v>
      </c>
      <c r="N122" s="182">
        <f t="shared" si="19"/>
        <v>7788.0000000000009</v>
      </c>
      <c r="O122" s="182">
        <f>1+3+2</f>
        <v>6</v>
      </c>
      <c r="P122" s="181">
        <f t="shared" si="24"/>
        <v>54</v>
      </c>
      <c r="Q122" s="181">
        <f t="shared" si="20"/>
        <v>7009.2000000000007</v>
      </c>
      <c r="R122" s="183" t="s">
        <v>239</v>
      </c>
      <c r="S122" s="184"/>
    </row>
    <row r="123" spans="2:19" s="185" customFormat="1" ht="20.25" x14ac:dyDescent="0.3">
      <c r="B123" s="175">
        <v>115</v>
      </c>
      <c r="C123" s="176">
        <v>43609</v>
      </c>
      <c r="D123" s="176">
        <v>43609</v>
      </c>
      <c r="E123" s="177" t="s">
        <v>436</v>
      </c>
      <c r="F123" s="177" t="s">
        <v>438</v>
      </c>
      <c r="G123" s="178">
        <v>21</v>
      </c>
      <c r="H123" s="179">
        <v>4956</v>
      </c>
      <c r="I123" s="175" t="s">
        <v>230</v>
      </c>
      <c r="J123" s="180">
        <v>40</v>
      </c>
      <c r="K123" s="181">
        <v>200</v>
      </c>
      <c r="L123" s="181">
        <f t="shared" si="25"/>
        <v>36</v>
      </c>
      <c r="M123" s="181">
        <f t="shared" si="18"/>
        <v>236</v>
      </c>
      <c r="N123" s="182">
        <f t="shared" si="19"/>
        <v>9440</v>
      </c>
      <c r="O123" s="182">
        <f>1+3+6+1+5+1+1+1</f>
        <v>19</v>
      </c>
      <c r="P123" s="181">
        <f t="shared" si="24"/>
        <v>21</v>
      </c>
      <c r="Q123" s="181">
        <f t="shared" si="20"/>
        <v>4956</v>
      </c>
      <c r="R123" s="183" t="s">
        <v>233</v>
      </c>
      <c r="S123" s="184">
        <f>Q123/P123</f>
        <v>236</v>
      </c>
    </row>
    <row r="124" spans="2:19" s="185" customFormat="1" ht="20.25" x14ac:dyDescent="0.3">
      <c r="B124" s="175">
        <v>116</v>
      </c>
      <c r="C124" s="176">
        <v>44162</v>
      </c>
      <c r="D124" s="176">
        <v>44162</v>
      </c>
      <c r="E124" s="177" t="s">
        <v>432</v>
      </c>
      <c r="F124" s="177" t="s">
        <v>439</v>
      </c>
      <c r="G124" s="178">
        <v>60</v>
      </c>
      <c r="H124" s="179">
        <v>1770</v>
      </c>
      <c r="I124" s="175" t="s">
        <v>230</v>
      </c>
      <c r="J124" s="180">
        <v>60</v>
      </c>
      <c r="K124" s="181">
        <v>25</v>
      </c>
      <c r="L124" s="181">
        <f t="shared" si="25"/>
        <v>4.5</v>
      </c>
      <c r="M124" s="181">
        <f t="shared" si="18"/>
        <v>29.5</v>
      </c>
      <c r="N124" s="182">
        <f t="shared" si="19"/>
        <v>1770</v>
      </c>
      <c r="O124" s="182">
        <v>0</v>
      </c>
      <c r="P124" s="181">
        <f t="shared" si="24"/>
        <v>60</v>
      </c>
      <c r="Q124" s="181">
        <f t="shared" si="20"/>
        <v>1770</v>
      </c>
      <c r="R124" s="183" t="s">
        <v>239</v>
      </c>
      <c r="S124" s="184"/>
    </row>
    <row r="125" spans="2:19" s="185" customFormat="1" ht="20.25" x14ac:dyDescent="0.3">
      <c r="B125" s="175">
        <v>117</v>
      </c>
      <c r="C125" s="176">
        <v>43252</v>
      </c>
      <c r="D125" s="176">
        <v>43252</v>
      </c>
      <c r="E125" s="177" t="s">
        <v>432</v>
      </c>
      <c r="F125" s="177" t="s">
        <v>440</v>
      </c>
      <c r="G125" s="178">
        <v>2</v>
      </c>
      <c r="H125" s="179">
        <v>885</v>
      </c>
      <c r="I125" s="175" t="s">
        <v>230</v>
      </c>
      <c r="J125" s="180">
        <v>24</v>
      </c>
      <c r="K125" s="181">
        <v>375</v>
      </c>
      <c r="L125" s="181">
        <f t="shared" si="25"/>
        <v>67.5</v>
      </c>
      <c r="M125" s="181">
        <f t="shared" si="18"/>
        <v>442.5</v>
      </c>
      <c r="N125" s="182">
        <f t="shared" si="19"/>
        <v>10620</v>
      </c>
      <c r="O125" s="182">
        <f>5+6+3+1+2+1+2+2</f>
        <v>22</v>
      </c>
      <c r="P125" s="181">
        <f t="shared" si="24"/>
        <v>2</v>
      </c>
      <c r="Q125" s="181">
        <f t="shared" si="20"/>
        <v>885</v>
      </c>
      <c r="R125" s="183"/>
      <c r="S125" s="184">
        <f>Q125/P125</f>
        <v>442.5</v>
      </c>
    </row>
    <row r="126" spans="2:19" s="185" customFormat="1" ht="20.25" x14ac:dyDescent="0.3">
      <c r="B126" s="175">
        <v>118</v>
      </c>
      <c r="C126" s="176">
        <v>43609</v>
      </c>
      <c r="D126" s="176">
        <v>43609</v>
      </c>
      <c r="E126" s="177" t="s">
        <v>432</v>
      </c>
      <c r="F126" s="177" t="s">
        <v>441</v>
      </c>
      <c r="G126" s="178">
        <v>40</v>
      </c>
      <c r="H126" s="179">
        <v>9440</v>
      </c>
      <c r="I126" s="175" t="s">
        <v>230</v>
      </c>
      <c r="J126" s="180">
        <v>70</v>
      </c>
      <c r="K126" s="181">
        <v>200</v>
      </c>
      <c r="L126" s="181">
        <f t="shared" si="25"/>
        <v>36</v>
      </c>
      <c r="M126" s="181">
        <f t="shared" si="18"/>
        <v>236</v>
      </c>
      <c r="N126" s="182">
        <f t="shared" si="19"/>
        <v>16520</v>
      </c>
      <c r="O126" s="182">
        <f>3+1+1+1+1+1+2+1+4+2+2+1+4+1+1+1+1+1+1</f>
        <v>30</v>
      </c>
      <c r="P126" s="181">
        <f t="shared" si="24"/>
        <v>40</v>
      </c>
      <c r="Q126" s="181">
        <f t="shared" si="20"/>
        <v>9440</v>
      </c>
      <c r="R126" s="183" t="s">
        <v>239</v>
      </c>
      <c r="S126" s="184"/>
    </row>
    <row r="127" spans="2:19" s="185" customFormat="1" ht="20.25" x14ac:dyDescent="0.3">
      <c r="B127" s="175">
        <v>119</v>
      </c>
      <c r="C127" s="176">
        <v>44162</v>
      </c>
      <c r="D127" s="176">
        <v>44162</v>
      </c>
      <c r="E127" s="177" t="s">
        <v>442</v>
      </c>
      <c r="F127" s="177" t="s">
        <v>441</v>
      </c>
      <c r="G127" s="178">
        <v>1</v>
      </c>
      <c r="H127" s="179">
        <v>310</v>
      </c>
      <c r="I127" s="175" t="s">
        <v>355</v>
      </c>
      <c r="J127" s="180">
        <v>30</v>
      </c>
      <c r="K127" s="181">
        <f>310</f>
        <v>310</v>
      </c>
      <c r="L127" s="181">
        <v>0</v>
      </c>
      <c r="M127" s="181">
        <f t="shared" si="18"/>
        <v>310</v>
      </c>
      <c r="N127" s="182">
        <f t="shared" si="19"/>
        <v>9300</v>
      </c>
      <c r="O127" s="182">
        <f>4+1+1+1+3+1+1+1+3+1+1+1+1+4+1+4</f>
        <v>29</v>
      </c>
      <c r="P127" s="181">
        <f t="shared" si="24"/>
        <v>1</v>
      </c>
      <c r="Q127" s="181">
        <f t="shared" si="20"/>
        <v>310</v>
      </c>
      <c r="R127" s="183" t="s">
        <v>307</v>
      </c>
      <c r="S127" s="184">
        <f t="shared" ref="S127:S131" si="26">Q127/P127</f>
        <v>310</v>
      </c>
    </row>
    <row r="128" spans="2:19" s="185" customFormat="1" ht="20.25" x14ac:dyDescent="0.3">
      <c r="B128" s="175">
        <v>120</v>
      </c>
      <c r="C128" s="176">
        <v>43252</v>
      </c>
      <c r="D128" s="176">
        <v>43252</v>
      </c>
      <c r="E128" s="177" t="s">
        <v>443</v>
      </c>
      <c r="F128" s="196" t="s">
        <v>444</v>
      </c>
      <c r="G128" s="178">
        <v>1</v>
      </c>
      <c r="H128" s="179">
        <v>690.3</v>
      </c>
      <c r="I128" s="175" t="s">
        <v>230</v>
      </c>
      <c r="J128" s="180">
        <v>2</v>
      </c>
      <c r="K128" s="181">
        <v>585</v>
      </c>
      <c r="L128" s="181">
        <f t="shared" ref="L128:L139" si="27">+K128*18%</f>
        <v>105.3</v>
      </c>
      <c r="M128" s="181">
        <f t="shared" si="18"/>
        <v>690.3</v>
      </c>
      <c r="N128" s="182">
        <f t="shared" si="19"/>
        <v>1380.6</v>
      </c>
      <c r="O128" s="182">
        <v>1</v>
      </c>
      <c r="P128" s="181">
        <f t="shared" si="24"/>
        <v>1</v>
      </c>
      <c r="Q128" s="181">
        <f t="shared" si="20"/>
        <v>690.3</v>
      </c>
      <c r="R128" s="183"/>
      <c r="S128" s="184">
        <f t="shared" si="26"/>
        <v>690.3</v>
      </c>
    </row>
    <row r="129" spans="2:19" s="185" customFormat="1" ht="20.25" x14ac:dyDescent="0.3">
      <c r="B129" s="175">
        <v>121</v>
      </c>
      <c r="C129" s="176">
        <v>43609</v>
      </c>
      <c r="D129" s="176">
        <v>43609</v>
      </c>
      <c r="E129" s="177" t="s">
        <v>443</v>
      </c>
      <c r="F129" s="187" t="s">
        <v>445</v>
      </c>
      <c r="G129" s="178">
        <v>2</v>
      </c>
      <c r="H129" s="179">
        <v>1298</v>
      </c>
      <c r="I129" s="175" t="s">
        <v>230</v>
      </c>
      <c r="J129" s="180">
        <v>2</v>
      </c>
      <c r="K129" s="181">
        <v>550</v>
      </c>
      <c r="L129" s="181">
        <f t="shared" si="27"/>
        <v>99</v>
      </c>
      <c r="M129" s="181">
        <f t="shared" si="18"/>
        <v>649</v>
      </c>
      <c r="N129" s="182">
        <f t="shared" si="19"/>
        <v>1298</v>
      </c>
      <c r="O129" s="182">
        <v>0</v>
      </c>
      <c r="P129" s="181">
        <f t="shared" si="24"/>
        <v>2</v>
      </c>
      <c r="Q129" s="181">
        <f t="shared" si="20"/>
        <v>1298</v>
      </c>
      <c r="R129" s="183" t="s">
        <v>233</v>
      </c>
      <c r="S129" s="184">
        <f t="shared" si="26"/>
        <v>649</v>
      </c>
    </row>
    <row r="130" spans="2:19" s="185" customFormat="1" ht="20.25" x14ac:dyDescent="0.3">
      <c r="B130" s="175">
        <v>122</v>
      </c>
      <c r="C130" s="176">
        <v>43609</v>
      </c>
      <c r="D130" s="176">
        <v>43609</v>
      </c>
      <c r="E130" s="177" t="s">
        <v>446</v>
      </c>
      <c r="F130" s="177" t="s">
        <v>447</v>
      </c>
      <c r="G130" s="178">
        <v>1</v>
      </c>
      <c r="H130" s="179">
        <v>354</v>
      </c>
      <c r="I130" s="175" t="s">
        <v>230</v>
      </c>
      <c r="J130" s="180">
        <v>1</v>
      </c>
      <c r="K130" s="181">
        <v>300</v>
      </c>
      <c r="L130" s="181">
        <f t="shared" si="27"/>
        <v>54</v>
      </c>
      <c r="M130" s="181">
        <f t="shared" si="18"/>
        <v>354</v>
      </c>
      <c r="N130" s="182">
        <f t="shared" si="19"/>
        <v>354</v>
      </c>
      <c r="O130" s="182">
        <v>0</v>
      </c>
      <c r="P130" s="181">
        <f t="shared" si="24"/>
        <v>1</v>
      </c>
      <c r="Q130" s="181">
        <f t="shared" si="20"/>
        <v>354</v>
      </c>
      <c r="R130" s="183"/>
      <c r="S130" s="184">
        <f t="shared" si="26"/>
        <v>354</v>
      </c>
    </row>
    <row r="131" spans="2:19" s="185" customFormat="1" ht="20.25" x14ac:dyDescent="0.3">
      <c r="B131" s="175">
        <v>123</v>
      </c>
      <c r="C131" s="176">
        <v>43609</v>
      </c>
      <c r="D131" s="176">
        <v>43609</v>
      </c>
      <c r="E131" s="177" t="s">
        <v>446</v>
      </c>
      <c r="F131" s="177" t="s">
        <v>448</v>
      </c>
      <c r="G131" s="178">
        <v>1</v>
      </c>
      <c r="H131" s="179">
        <v>354</v>
      </c>
      <c r="I131" s="175" t="s">
        <v>230</v>
      </c>
      <c r="J131" s="180">
        <v>1</v>
      </c>
      <c r="K131" s="181">
        <v>300</v>
      </c>
      <c r="L131" s="181">
        <f t="shared" si="27"/>
        <v>54</v>
      </c>
      <c r="M131" s="181">
        <f t="shared" si="18"/>
        <v>354</v>
      </c>
      <c r="N131" s="182">
        <f t="shared" si="19"/>
        <v>354</v>
      </c>
      <c r="O131" s="182">
        <v>0</v>
      </c>
      <c r="P131" s="181">
        <f t="shared" si="24"/>
        <v>1</v>
      </c>
      <c r="Q131" s="181">
        <f t="shared" si="20"/>
        <v>354</v>
      </c>
      <c r="R131" s="183" t="s">
        <v>233</v>
      </c>
      <c r="S131" s="184">
        <f t="shared" si="26"/>
        <v>354</v>
      </c>
    </row>
    <row r="132" spans="2:19" s="205" customFormat="1" ht="20.25" x14ac:dyDescent="0.3">
      <c r="B132" s="175">
        <v>124</v>
      </c>
      <c r="C132" s="197">
        <v>43252</v>
      </c>
      <c r="D132" s="176">
        <v>43252</v>
      </c>
      <c r="E132" s="198" t="s">
        <v>449</v>
      </c>
      <c r="F132" s="198" t="s">
        <v>450</v>
      </c>
      <c r="G132" s="178">
        <v>1</v>
      </c>
      <c r="H132" s="179">
        <v>59</v>
      </c>
      <c r="I132" s="199" t="s">
        <v>230</v>
      </c>
      <c r="J132" s="200">
        <v>20</v>
      </c>
      <c r="K132" s="201">
        <v>50</v>
      </c>
      <c r="L132" s="201">
        <f t="shared" si="27"/>
        <v>9</v>
      </c>
      <c r="M132" s="201">
        <f t="shared" si="18"/>
        <v>59</v>
      </c>
      <c r="N132" s="202">
        <f t="shared" si="19"/>
        <v>1180</v>
      </c>
      <c r="O132" s="202">
        <f>7+1+1+1+1+1+2+1+1+1+1+1</f>
        <v>19</v>
      </c>
      <c r="P132" s="201">
        <f t="shared" si="24"/>
        <v>1</v>
      </c>
      <c r="Q132" s="201">
        <f t="shared" si="20"/>
        <v>59</v>
      </c>
      <c r="R132" s="203" t="s">
        <v>233</v>
      </c>
      <c r="S132" s="204"/>
    </row>
    <row r="133" spans="2:19" s="185" customFormat="1" ht="20.25" x14ac:dyDescent="0.3">
      <c r="B133" s="175">
        <v>125</v>
      </c>
      <c r="C133" s="176" t="s">
        <v>236</v>
      </c>
      <c r="D133" s="176" t="str">
        <f>+C133</f>
        <v>27/11/2020</v>
      </c>
      <c r="E133" s="177" t="s">
        <v>449</v>
      </c>
      <c r="F133" s="177" t="s">
        <v>451</v>
      </c>
      <c r="G133" s="178">
        <v>9</v>
      </c>
      <c r="H133" s="179">
        <v>223.02</v>
      </c>
      <c r="I133" s="175" t="s">
        <v>230</v>
      </c>
      <c r="J133" s="180">
        <v>20</v>
      </c>
      <c r="K133" s="181">
        <v>21</v>
      </c>
      <c r="L133" s="181">
        <f t="shared" si="27"/>
        <v>3.78</v>
      </c>
      <c r="M133" s="181">
        <f t="shared" si="18"/>
        <v>24.78</v>
      </c>
      <c r="N133" s="182">
        <f t="shared" si="19"/>
        <v>495.6</v>
      </c>
      <c r="O133" s="182">
        <f>4+2+2+1+1+1</f>
        <v>11</v>
      </c>
      <c r="P133" s="181">
        <f t="shared" si="24"/>
        <v>9</v>
      </c>
      <c r="Q133" s="181">
        <f t="shared" si="20"/>
        <v>223.02</v>
      </c>
      <c r="R133" s="183" t="s">
        <v>239</v>
      </c>
      <c r="S133" s="184"/>
    </row>
    <row r="134" spans="2:19" s="185" customFormat="1" ht="20.25" x14ac:dyDescent="0.3">
      <c r="B134" s="175">
        <v>126</v>
      </c>
      <c r="C134" s="176" t="s">
        <v>236</v>
      </c>
      <c r="D134" s="176">
        <v>44162</v>
      </c>
      <c r="E134" s="177" t="s">
        <v>452</v>
      </c>
      <c r="F134" s="177" t="s">
        <v>453</v>
      </c>
      <c r="G134" s="178">
        <v>56</v>
      </c>
      <c r="H134" s="179">
        <v>1387.68</v>
      </c>
      <c r="I134" s="175" t="s">
        <v>230</v>
      </c>
      <c r="J134" s="180">
        <v>60</v>
      </c>
      <c r="K134" s="181">
        <v>21</v>
      </c>
      <c r="L134" s="181">
        <f t="shared" si="27"/>
        <v>3.78</v>
      </c>
      <c r="M134" s="181">
        <f t="shared" si="18"/>
        <v>24.78</v>
      </c>
      <c r="N134" s="182">
        <f t="shared" si="19"/>
        <v>1486.8000000000002</v>
      </c>
      <c r="O134" s="182">
        <f>1+1+2</f>
        <v>4</v>
      </c>
      <c r="P134" s="181">
        <f t="shared" si="24"/>
        <v>56</v>
      </c>
      <c r="Q134" s="181">
        <f t="shared" si="20"/>
        <v>1387.68</v>
      </c>
      <c r="R134" s="183" t="s">
        <v>239</v>
      </c>
      <c r="S134" s="184"/>
    </row>
    <row r="135" spans="2:19" s="185" customFormat="1" ht="20.25" x14ac:dyDescent="0.3">
      <c r="B135" s="175">
        <v>127</v>
      </c>
      <c r="C135" s="176" t="s">
        <v>236</v>
      </c>
      <c r="D135" s="176">
        <v>44162</v>
      </c>
      <c r="E135" s="177" t="s">
        <v>454</v>
      </c>
      <c r="F135" s="177" t="s">
        <v>455</v>
      </c>
      <c r="G135" s="178">
        <v>54</v>
      </c>
      <c r="H135" s="179">
        <v>1338.12</v>
      </c>
      <c r="I135" s="175" t="s">
        <v>230</v>
      </c>
      <c r="J135" s="180">
        <v>60</v>
      </c>
      <c r="K135" s="181">
        <v>21</v>
      </c>
      <c r="L135" s="181">
        <f t="shared" si="27"/>
        <v>3.78</v>
      </c>
      <c r="M135" s="181">
        <f t="shared" si="18"/>
        <v>24.78</v>
      </c>
      <c r="N135" s="182">
        <f t="shared" si="19"/>
        <v>1486.8000000000002</v>
      </c>
      <c r="O135" s="182">
        <f>2+2+1+1</f>
        <v>6</v>
      </c>
      <c r="P135" s="181">
        <f t="shared" si="24"/>
        <v>54</v>
      </c>
      <c r="Q135" s="181">
        <f t="shared" si="20"/>
        <v>1338.1200000000001</v>
      </c>
      <c r="R135" s="183" t="s">
        <v>239</v>
      </c>
      <c r="S135" s="184"/>
    </row>
    <row r="136" spans="2:19" s="185" customFormat="1" ht="20.25" x14ac:dyDescent="0.3">
      <c r="B136" s="175">
        <v>128</v>
      </c>
      <c r="C136" s="176">
        <v>43609</v>
      </c>
      <c r="D136" s="176">
        <v>43609</v>
      </c>
      <c r="E136" s="177" t="s">
        <v>456</v>
      </c>
      <c r="F136" s="177" t="s">
        <v>457</v>
      </c>
      <c r="G136" s="178">
        <v>56</v>
      </c>
      <c r="H136" s="179">
        <v>1387.68</v>
      </c>
      <c r="I136" s="175" t="s">
        <v>230</v>
      </c>
      <c r="J136" s="180">
        <v>60</v>
      </c>
      <c r="K136" s="181">
        <v>21</v>
      </c>
      <c r="L136" s="181">
        <f t="shared" si="27"/>
        <v>3.78</v>
      </c>
      <c r="M136" s="181">
        <f t="shared" si="18"/>
        <v>24.78</v>
      </c>
      <c r="N136" s="182">
        <f t="shared" si="19"/>
        <v>1486.8000000000002</v>
      </c>
      <c r="O136" s="182">
        <f>2+2</f>
        <v>4</v>
      </c>
      <c r="P136" s="181">
        <f t="shared" si="24"/>
        <v>56</v>
      </c>
      <c r="Q136" s="181">
        <f t="shared" si="20"/>
        <v>1387.68</v>
      </c>
      <c r="R136" s="183" t="s">
        <v>239</v>
      </c>
      <c r="S136" s="184"/>
    </row>
    <row r="137" spans="2:19" s="185" customFormat="1" ht="20.25" x14ac:dyDescent="0.3">
      <c r="B137" s="175">
        <v>129</v>
      </c>
      <c r="C137" s="176">
        <v>43830</v>
      </c>
      <c r="D137" s="176">
        <v>43830</v>
      </c>
      <c r="E137" s="177" t="s">
        <v>458</v>
      </c>
      <c r="F137" s="177" t="s">
        <v>459</v>
      </c>
      <c r="G137" s="178">
        <v>58</v>
      </c>
      <c r="H137" s="179">
        <v>1519.3679999999999</v>
      </c>
      <c r="I137" s="175" t="s">
        <v>230</v>
      </c>
      <c r="J137" s="180">
        <v>60</v>
      </c>
      <c r="K137" s="181">
        <v>22.2</v>
      </c>
      <c r="L137" s="181">
        <f t="shared" si="27"/>
        <v>3.9959999999999996</v>
      </c>
      <c r="M137" s="181">
        <f t="shared" si="18"/>
        <v>26.195999999999998</v>
      </c>
      <c r="N137" s="182">
        <f t="shared" si="19"/>
        <v>1571.7599999999998</v>
      </c>
      <c r="O137" s="182">
        <f>1+1</f>
        <v>2</v>
      </c>
      <c r="P137" s="181">
        <f t="shared" si="24"/>
        <v>58</v>
      </c>
      <c r="Q137" s="181">
        <f t="shared" si="20"/>
        <v>1519.3679999999999</v>
      </c>
      <c r="R137" s="183" t="s">
        <v>239</v>
      </c>
      <c r="S137" s="184">
        <f t="shared" ref="S137:S143" si="28">Q137/P137</f>
        <v>26.195999999999998</v>
      </c>
    </row>
    <row r="138" spans="2:19" s="185" customFormat="1" ht="20.25" x14ac:dyDescent="0.3">
      <c r="B138" s="175">
        <v>130</v>
      </c>
      <c r="C138" s="176" t="s">
        <v>236</v>
      </c>
      <c r="D138" s="176">
        <v>44162</v>
      </c>
      <c r="E138" s="177" t="s">
        <v>449</v>
      </c>
      <c r="F138" s="177" t="s">
        <v>460</v>
      </c>
      <c r="G138" s="178">
        <v>1</v>
      </c>
      <c r="H138" s="179">
        <v>82.6</v>
      </c>
      <c r="I138" s="175" t="s">
        <v>230</v>
      </c>
      <c r="J138" s="180">
        <v>16</v>
      </c>
      <c r="K138" s="181">
        <v>70</v>
      </c>
      <c r="L138" s="181">
        <f t="shared" si="27"/>
        <v>12.6</v>
      </c>
      <c r="M138" s="181">
        <f t="shared" si="18"/>
        <v>82.6</v>
      </c>
      <c r="N138" s="182">
        <f t="shared" si="19"/>
        <v>1321.6</v>
      </c>
      <c r="O138" s="182">
        <f>4+1+2+1+1+1+1+2+2</f>
        <v>15</v>
      </c>
      <c r="P138" s="181">
        <f t="shared" si="24"/>
        <v>1</v>
      </c>
      <c r="Q138" s="181">
        <f t="shared" si="20"/>
        <v>82.6</v>
      </c>
      <c r="R138" s="183"/>
      <c r="S138" s="184">
        <f t="shared" si="28"/>
        <v>82.6</v>
      </c>
    </row>
    <row r="139" spans="2:19" s="185" customFormat="1" ht="20.25" x14ac:dyDescent="0.3">
      <c r="B139" s="175">
        <v>131</v>
      </c>
      <c r="C139" s="176">
        <v>43252</v>
      </c>
      <c r="D139" s="176">
        <v>43252</v>
      </c>
      <c r="E139" s="177" t="s">
        <v>461</v>
      </c>
      <c r="F139" s="177" t="s">
        <v>462</v>
      </c>
      <c r="G139" s="178">
        <v>59</v>
      </c>
      <c r="H139" s="179">
        <v>1545.5640000000001</v>
      </c>
      <c r="I139" s="175" t="s">
        <v>230</v>
      </c>
      <c r="J139" s="180">
        <v>60</v>
      </c>
      <c r="K139" s="181">
        <v>22.2</v>
      </c>
      <c r="L139" s="181">
        <f t="shared" si="27"/>
        <v>3.9959999999999996</v>
      </c>
      <c r="M139" s="181">
        <f t="shared" si="18"/>
        <v>26.195999999999998</v>
      </c>
      <c r="N139" s="182">
        <f t="shared" si="19"/>
        <v>1571.7599999999998</v>
      </c>
      <c r="O139" s="182">
        <v>1</v>
      </c>
      <c r="P139" s="181">
        <f t="shared" si="24"/>
        <v>59</v>
      </c>
      <c r="Q139" s="181">
        <f t="shared" si="20"/>
        <v>1545.5639999999999</v>
      </c>
      <c r="R139" s="183" t="s">
        <v>239</v>
      </c>
      <c r="S139" s="184">
        <f t="shared" si="28"/>
        <v>26.195999999999998</v>
      </c>
    </row>
    <row r="140" spans="2:19" s="185" customFormat="1" ht="20.25" x14ac:dyDescent="0.3">
      <c r="B140" s="175">
        <v>132</v>
      </c>
      <c r="C140" s="176">
        <v>43830</v>
      </c>
      <c r="D140" s="176">
        <v>43830</v>
      </c>
      <c r="E140" s="177" t="s">
        <v>463</v>
      </c>
      <c r="F140" s="177" t="s">
        <v>464</v>
      </c>
      <c r="G140" s="178">
        <v>5</v>
      </c>
      <c r="H140" s="179">
        <v>122.89700000000001</v>
      </c>
      <c r="I140" s="175" t="s">
        <v>230</v>
      </c>
      <c r="J140" s="180">
        <v>12</v>
      </c>
      <c r="K140" s="181">
        <v>20.83</v>
      </c>
      <c r="L140" s="181">
        <f>+K140*18%</f>
        <v>3.7493999999999996</v>
      </c>
      <c r="M140" s="181">
        <f t="shared" si="18"/>
        <v>24.5794</v>
      </c>
      <c r="N140" s="182">
        <f t="shared" si="19"/>
        <v>294.95280000000002</v>
      </c>
      <c r="O140" s="182">
        <f>2+1+1+1+2</f>
        <v>7</v>
      </c>
      <c r="P140" s="181">
        <f>$J140-$O140</f>
        <v>5</v>
      </c>
      <c r="Q140" s="181">
        <f t="shared" si="20"/>
        <v>122.89699999999999</v>
      </c>
      <c r="R140" s="181"/>
      <c r="S140" s="184">
        <f t="shared" si="28"/>
        <v>24.5794</v>
      </c>
    </row>
    <row r="141" spans="2:19" s="165" customFormat="1" ht="20.25" x14ac:dyDescent="0.3">
      <c r="B141" s="175">
        <v>133</v>
      </c>
      <c r="C141" s="188">
        <v>45036</v>
      </c>
      <c r="D141" s="176">
        <v>45036</v>
      </c>
      <c r="E141" s="189" t="s">
        <v>465</v>
      </c>
      <c r="F141" s="189" t="s">
        <v>466</v>
      </c>
      <c r="G141" s="178">
        <v>11</v>
      </c>
      <c r="H141" s="179">
        <v>389.4</v>
      </c>
      <c r="I141" s="191" t="s">
        <v>230</v>
      </c>
      <c r="J141" s="192">
        <v>12</v>
      </c>
      <c r="K141" s="182">
        <v>30</v>
      </c>
      <c r="L141" s="182">
        <f>+K141*18%</f>
        <v>5.3999999999999995</v>
      </c>
      <c r="M141" s="182">
        <f>+K141+L141</f>
        <v>35.4</v>
      </c>
      <c r="N141" s="182">
        <f t="shared" si="19"/>
        <v>424.79999999999995</v>
      </c>
      <c r="O141" s="182">
        <v>1</v>
      </c>
      <c r="P141" s="182">
        <f>$J141-$O141</f>
        <v>11</v>
      </c>
      <c r="Q141" s="182">
        <f>$P141*$M141</f>
        <v>389.4</v>
      </c>
      <c r="R141" s="167" t="s">
        <v>258</v>
      </c>
      <c r="S141" s="193"/>
    </row>
    <row r="142" spans="2:19" s="185" customFormat="1" ht="20.25" x14ac:dyDescent="0.3">
      <c r="B142" s="175">
        <v>134</v>
      </c>
      <c r="C142" s="176" t="s">
        <v>236</v>
      </c>
      <c r="D142" s="176">
        <v>44162</v>
      </c>
      <c r="E142" s="177" t="s">
        <v>463</v>
      </c>
      <c r="F142" s="177" t="s">
        <v>467</v>
      </c>
      <c r="G142" s="178">
        <v>2</v>
      </c>
      <c r="H142" s="179">
        <v>3050</v>
      </c>
      <c r="I142" s="175" t="s">
        <v>230</v>
      </c>
      <c r="J142" s="180">
        <v>20</v>
      </c>
      <c r="K142" s="181">
        <f>1525</f>
        <v>1525</v>
      </c>
      <c r="L142" s="181">
        <v>0</v>
      </c>
      <c r="M142" s="181">
        <f>+K142</f>
        <v>1525</v>
      </c>
      <c r="N142" s="182">
        <f t="shared" si="19"/>
        <v>30500</v>
      </c>
      <c r="O142" s="182">
        <v>18</v>
      </c>
      <c r="P142" s="181">
        <f t="shared" si="24"/>
        <v>2</v>
      </c>
      <c r="Q142" s="181">
        <f t="shared" si="20"/>
        <v>3050</v>
      </c>
      <c r="R142" s="183" t="s">
        <v>307</v>
      </c>
      <c r="S142" s="184">
        <f t="shared" si="28"/>
        <v>1525</v>
      </c>
    </row>
    <row r="143" spans="2:19" s="185" customFormat="1" ht="20.25" x14ac:dyDescent="0.3">
      <c r="B143" s="175">
        <v>135</v>
      </c>
      <c r="C143" s="176">
        <v>43609</v>
      </c>
      <c r="D143" s="176">
        <v>43609</v>
      </c>
      <c r="E143" s="177" t="s">
        <v>468</v>
      </c>
      <c r="F143" s="177" t="s">
        <v>469</v>
      </c>
      <c r="G143" s="178">
        <v>38</v>
      </c>
      <c r="H143" s="179">
        <v>1345.2</v>
      </c>
      <c r="I143" s="175" t="s">
        <v>470</v>
      </c>
      <c r="J143" s="180">
        <v>95</v>
      </c>
      <c r="K143" s="181">
        <v>30</v>
      </c>
      <c r="L143" s="181">
        <f>+K143*18%</f>
        <v>5.3999999999999995</v>
      </c>
      <c r="M143" s="181">
        <f>+K143+L143</f>
        <v>35.4</v>
      </c>
      <c r="N143" s="182">
        <f t="shared" si="19"/>
        <v>3363</v>
      </c>
      <c r="O143" s="182">
        <f>25+1+1+25+2+1+2</f>
        <v>57</v>
      </c>
      <c r="P143" s="181">
        <f t="shared" si="24"/>
        <v>38</v>
      </c>
      <c r="Q143" s="181">
        <f t="shared" si="20"/>
        <v>1345.2</v>
      </c>
      <c r="R143" s="181"/>
      <c r="S143" s="184">
        <f t="shared" si="28"/>
        <v>35.4</v>
      </c>
    </row>
    <row r="144" spans="2:19" s="185" customFormat="1" ht="20.25" x14ac:dyDescent="0.3">
      <c r="B144" s="175">
        <v>136</v>
      </c>
      <c r="C144" s="176">
        <v>43609</v>
      </c>
      <c r="D144" s="176">
        <v>43609</v>
      </c>
      <c r="E144" s="177" t="s">
        <v>468</v>
      </c>
      <c r="F144" s="177" t="s">
        <v>471</v>
      </c>
      <c r="G144" s="178">
        <v>1</v>
      </c>
      <c r="H144" s="179">
        <v>29.5</v>
      </c>
      <c r="I144" s="175" t="s">
        <v>472</v>
      </c>
      <c r="J144" s="180">
        <v>20</v>
      </c>
      <c r="K144" s="181">
        <v>25</v>
      </c>
      <c r="L144" s="181">
        <f>+K144*18%</f>
        <v>4.5</v>
      </c>
      <c r="M144" s="181">
        <f>+K144+L144</f>
        <v>29.5</v>
      </c>
      <c r="N144" s="182">
        <f t="shared" si="19"/>
        <v>590</v>
      </c>
      <c r="O144" s="182">
        <f>10+5+1+2+1</f>
        <v>19</v>
      </c>
      <c r="P144" s="181">
        <f t="shared" si="24"/>
        <v>1</v>
      </c>
      <c r="Q144" s="181">
        <f t="shared" si="20"/>
        <v>29.5</v>
      </c>
      <c r="R144" s="181" t="s">
        <v>239</v>
      </c>
      <c r="S144" s="184"/>
    </row>
    <row r="145" spans="2:19" s="185" customFormat="1" ht="20.25" x14ac:dyDescent="0.3">
      <c r="B145" s="175">
        <v>137</v>
      </c>
      <c r="C145" s="176">
        <v>43609</v>
      </c>
      <c r="D145" s="176">
        <v>43609</v>
      </c>
      <c r="E145" s="177" t="s">
        <v>468</v>
      </c>
      <c r="F145" s="177" t="s">
        <v>473</v>
      </c>
      <c r="G145" s="178">
        <v>18</v>
      </c>
      <c r="H145" s="179">
        <v>1152</v>
      </c>
      <c r="I145" s="175" t="s">
        <v>474</v>
      </c>
      <c r="J145" s="180">
        <v>20</v>
      </c>
      <c r="K145" s="181">
        <f>64</f>
        <v>64</v>
      </c>
      <c r="L145" s="181">
        <v>0</v>
      </c>
      <c r="M145" s="181">
        <f>+K145</f>
        <v>64</v>
      </c>
      <c r="N145" s="182">
        <f t="shared" si="19"/>
        <v>1280</v>
      </c>
      <c r="O145" s="182">
        <f>1+1</f>
        <v>2</v>
      </c>
      <c r="P145" s="181">
        <f t="shared" si="24"/>
        <v>18</v>
      </c>
      <c r="Q145" s="181">
        <f t="shared" si="20"/>
        <v>1152</v>
      </c>
      <c r="R145" s="183" t="s">
        <v>307</v>
      </c>
      <c r="S145" s="184">
        <f>Q145/P145</f>
        <v>64</v>
      </c>
    </row>
    <row r="146" spans="2:19" s="185" customFormat="1" ht="20.25" x14ac:dyDescent="0.3">
      <c r="B146" s="175">
        <v>138</v>
      </c>
      <c r="C146" s="176" t="s">
        <v>236</v>
      </c>
      <c r="D146" s="176">
        <v>44162</v>
      </c>
      <c r="E146" s="177" t="s">
        <v>475</v>
      </c>
      <c r="F146" s="177" t="s">
        <v>476</v>
      </c>
      <c r="G146" s="178">
        <v>104</v>
      </c>
      <c r="H146" s="179">
        <v>368.16</v>
      </c>
      <c r="I146" s="175" t="s">
        <v>286</v>
      </c>
      <c r="J146" s="180">
        <v>500</v>
      </c>
      <c r="K146" s="181">
        <v>3</v>
      </c>
      <c r="L146" s="181">
        <f t="shared" ref="L146:L155" si="29">+K146*18%</f>
        <v>0.54</v>
      </c>
      <c r="M146" s="181">
        <f t="shared" ref="M146:M155" si="30">+K146+L146</f>
        <v>3.54</v>
      </c>
      <c r="N146" s="182">
        <f t="shared" si="19"/>
        <v>1770</v>
      </c>
      <c r="O146" s="182">
        <f>20+12+10+1+15+5+30+4+1+10+10+1+1+2+2+2+2+6+34+20+24+10+10+100+15+4+4+5+4+5+6+4+3+3+1+2+1+1+6</f>
        <v>396</v>
      </c>
      <c r="P146" s="181">
        <f t="shared" si="24"/>
        <v>104</v>
      </c>
      <c r="Q146" s="181">
        <f t="shared" si="20"/>
        <v>368.16</v>
      </c>
      <c r="R146" s="183" t="s">
        <v>233</v>
      </c>
      <c r="S146" s="184">
        <f>Q146/P146</f>
        <v>3.54</v>
      </c>
    </row>
    <row r="147" spans="2:19" s="185" customFormat="1" ht="20.25" x14ac:dyDescent="0.3">
      <c r="B147" s="175">
        <v>139</v>
      </c>
      <c r="C147" s="176" t="s">
        <v>236</v>
      </c>
      <c r="D147" s="176">
        <v>44162</v>
      </c>
      <c r="E147" s="177" t="s">
        <v>475</v>
      </c>
      <c r="F147" s="177" t="s">
        <v>477</v>
      </c>
      <c r="G147" s="178">
        <v>377</v>
      </c>
      <c r="H147" s="179">
        <v>1690.4680000000001</v>
      </c>
      <c r="I147" s="175" t="s">
        <v>230</v>
      </c>
      <c r="J147" s="180">
        <v>500</v>
      </c>
      <c r="K147" s="181">
        <v>3.8</v>
      </c>
      <c r="L147" s="181">
        <f t="shared" si="29"/>
        <v>0.68399999999999994</v>
      </c>
      <c r="M147" s="181">
        <f t="shared" si="30"/>
        <v>4.484</v>
      </c>
      <c r="N147" s="182">
        <f t="shared" si="19"/>
        <v>2242</v>
      </c>
      <c r="O147" s="182">
        <f>12+2+10+10+10+10+20+7+10+15+9+4+2+2</f>
        <v>123</v>
      </c>
      <c r="P147" s="181">
        <f t="shared" si="24"/>
        <v>377</v>
      </c>
      <c r="Q147" s="181">
        <f t="shared" si="20"/>
        <v>1690.4680000000001</v>
      </c>
      <c r="R147" s="183" t="s">
        <v>239</v>
      </c>
      <c r="S147" s="184"/>
    </row>
    <row r="148" spans="2:19" s="185" customFormat="1" ht="20.25" x14ac:dyDescent="0.3">
      <c r="B148" s="175">
        <v>140</v>
      </c>
      <c r="C148" s="176">
        <v>43609</v>
      </c>
      <c r="D148" s="176">
        <v>43609</v>
      </c>
      <c r="E148" s="177" t="s">
        <v>478</v>
      </c>
      <c r="F148" s="177" t="s">
        <v>479</v>
      </c>
      <c r="G148" s="178">
        <v>184</v>
      </c>
      <c r="H148" s="179">
        <v>521.08799999999997</v>
      </c>
      <c r="I148" s="175" t="s">
        <v>230</v>
      </c>
      <c r="J148" s="180">
        <v>500</v>
      </c>
      <c r="K148" s="181">
        <v>2.4</v>
      </c>
      <c r="L148" s="181">
        <f t="shared" si="29"/>
        <v>0.432</v>
      </c>
      <c r="M148" s="181">
        <f t="shared" si="30"/>
        <v>2.8319999999999999</v>
      </c>
      <c r="N148" s="182">
        <f t="shared" si="19"/>
        <v>1416</v>
      </c>
      <c r="O148" s="182">
        <f>2+2+12+20+25+12+10+2+1+17+1+1+10+10+2+10+2+2+10+2+2+1+1+10+10+30+50+1+50+8</f>
        <v>316</v>
      </c>
      <c r="P148" s="181">
        <f t="shared" si="24"/>
        <v>184</v>
      </c>
      <c r="Q148" s="181">
        <f t="shared" si="20"/>
        <v>521.08799999999997</v>
      </c>
      <c r="R148" s="183" t="s">
        <v>233</v>
      </c>
      <c r="S148" s="184">
        <f>Q148/P148</f>
        <v>2.8319999999999999</v>
      </c>
    </row>
    <row r="149" spans="2:19" s="185" customFormat="1" ht="20.25" x14ac:dyDescent="0.3">
      <c r="B149" s="175">
        <v>141</v>
      </c>
      <c r="C149" s="176">
        <v>43252</v>
      </c>
      <c r="D149" s="176">
        <v>43252</v>
      </c>
      <c r="E149" s="177" t="s">
        <v>480</v>
      </c>
      <c r="F149" s="177" t="s">
        <v>481</v>
      </c>
      <c r="G149" s="178">
        <v>475</v>
      </c>
      <c r="H149" s="179">
        <v>952.85</v>
      </c>
      <c r="I149" s="175" t="s">
        <v>230</v>
      </c>
      <c r="J149" s="180">
        <f>500+2</f>
        <v>502</v>
      </c>
      <c r="K149" s="181">
        <v>1.7</v>
      </c>
      <c r="L149" s="181">
        <f t="shared" si="29"/>
        <v>0.30599999999999999</v>
      </c>
      <c r="M149" s="181">
        <f t="shared" si="30"/>
        <v>2.0059999999999998</v>
      </c>
      <c r="N149" s="182">
        <f t="shared" si="19"/>
        <v>1007.0119999999999</v>
      </c>
      <c r="O149" s="182">
        <f>10+12+5</f>
        <v>27</v>
      </c>
      <c r="P149" s="181">
        <f t="shared" si="24"/>
        <v>475</v>
      </c>
      <c r="Q149" s="181">
        <f t="shared" si="20"/>
        <v>952.84999999999991</v>
      </c>
      <c r="R149" s="181" t="s">
        <v>239</v>
      </c>
    </row>
    <row r="150" spans="2:19" s="185" customFormat="1" ht="20.25" x14ac:dyDescent="0.3">
      <c r="B150" s="175">
        <v>142</v>
      </c>
      <c r="C150" s="176" t="s">
        <v>236</v>
      </c>
      <c r="D150" s="176" t="str">
        <f>+C150</f>
        <v>27/11/2020</v>
      </c>
      <c r="E150" s="177" t="s">
        <v>480</v>
      </c>
      <c r="F150" s="177" t="s">
        <v>482</v>
      </c>
      <c r="G150" s="178">
        <v>408</v>
      </c>
      <c r="H150" s="179">
        <v>866.59199999999998</v>
      </c>
      <c r="I150" s="175" t="s">
        <v>230</v>
      </c>
      <c r="J150" s="180">
        <v>500</v>
      </c>
      <c r="K150" s="181">
        <v>1.8</v>
      </c>
      <c r="L150" s="181">
        <f t="shared" si="29"/>
        <v>0.32400000000000001</v>
      </c>
      <c r="M150" s="181">
        <f t="shared" si="30"/>
        <v>2.1240000000000001</v>
      </c>
      <c r="N150" s="182">
        <f t="shared" si="19"/>
        <v>1062</v>
      </c>
      <c r="O150" s="182">
        <f>12+30+25+15+9+1</f>
        <v>92</v>
      </c>
      <c r="P150" s="181">
        <f t="shared" si="24"/>
        <v>408</v>
      </c>
      <c r="Q150" s="181">
        <f t="shared" si="20"/>
        <v>866.5920000000001</v>
      </c>
      <c r="R150" s="183" t="s">
        <v>233</v>
      </c>
      <c r="S150" s="184">
        <f>Q150/P150</f>
        <v>2.1240000000000001</v>
      </c>
    </row>
    <row r="151" spans="2:19" s="205" customFormat="1" ht="20.25" x14ac:dyDescent="0.3">
      <c r="B151" s="175">
        <v>143</v>
      </c>
      <c r="C151" s="197">
        <v>43252</v>
      </c>
      <c r="D151" s="176">
        <v>43252</v>
      </c>
      <c r="E151" s="198" t="s">
        <v>478</v>
      </c>
      <c r="F151" s="198" t="s">
        <v>483</v>
      </c>
      <c r="G151" s="178">
        <v>904</v>
      </c>
      <c r="H151" s="179">
        <v>3200.16</v>
      </c>
      <c r="I151" s="199" t="s">
        <v>230</v>
      </c>
      <c r="J151" s="200">
        <v>1000</v>
      </c>
      <c r="K151" s="201">
        <v>3</v>
      </c>
      <c r="L151" s="201">
        <f t="shared" si="29"/>
        <v>0.54</v>
      </c>
      <c r="M151" s="201">
        <f t="shared" si="30"/>
        <v>3.54</v>
      </c>
      <c r="N151" s="202">
        <f t="shared" ref="N151:N182" si="31">$J151*$M151</f>
        <v>3540</v>
      </c>
      <c r="O151" s="202">
        <f>1+1+1+10+4+2+5+10+2+30+30</f>
        <v>96</v>
      </c>
      <c r="P151" s="201">
        <f t="shared" si="24"/>
        <v>904</v>
      </c>
      <c r="Q151" s="201">
        <f t="shared" si="20"/>
        <v>3200.16</v>
      </c>
      <c r="R151" s="201" t="s">
        <v>239</v>
      </c>
    </row>
    <row r="152" spans="2:19" s="212" customFormat="1" ht="20.25" x14ac:dyDescent="0.3">
      <c r="B152" s="175">
        <v>144</v>
      </c>
      <c r="C152" s="206">
        <v>45036</v>
      </c>
      <c r="D152" s="176">
        <v>45036</v>
      </c>
      <c r="E152" s="207" t="s">
        <v>484</v>
      </c>
      <c r="F152" s="207" t="s">
        <v>485</v>
      </c>
      <c r="G152" s="178">
        <v>5</v>
      </c>
      <c r="H152" s="179">
        <v>531</v>
      </c>
      <c r="I152" s="208" t="s">
        <v>230</v>
      </c>
      <c r="J152" s="209">
        <v>6</v>
      </c>
      <c r="K152" s="210">
        <v>90</v>
      </c>
      <c r="L152" s="202">
        <f t="shared" si="29"/>
        <v>16.2</v>
      </c>
      <c r="M152" s="202">
        <f t="shared" si="30"/>
        <v>106.2</v>
      </c>
      <c r="N152" s="202">
        <f t="shared" si="31"/>
        <v>637.20000000000005</v>
      </c>
      <c r="O152" s="202">
        <v>1</v>
      </c>
      <c r="P152" s="202">
        <f t="shared" si="24"/>
        <v>5</v>
      </c>
      <c r="Q152" s="202">
        <f t="shared" ref="Q152:Q183" si="32">$P152*$M152</f>
        <v>531</v>
      </c>
      <c r="R152" s="167" t="s">
        <v>258</v>
      </c>
      <c r="S152" s="211">
        <f t="shared" ref="S152:S156" si="33">Q152/P152</f>
        <v>106.2</v>
      </c>
    </row>
    <row r="153" spans="2:19" s="185" customFormat="1" ht="20.25" x14ac:dyDescent="0.3">
      <c r="B153" s="175">
        <v>145</v>
      </c>
      <c r="C153" s="176">
        <v>43830</v>
      </c>
      <c r="D153" s="176">
        <v>43830</v>
      </c>
      <c r="E153" s="177" t="s">
        <v>486</v>
      </c>
      <c r="F153" s="177" t="s">
        <v>487</v>
      </c>
      <c r="G153" s="178">
        <v>6</v>
      </c>
      <c r="H153" s="179">
        <v>566.4</v>
      </c>
      <c r="I153" s="175" t="s">
        <v>230</v>
      </c>
      <c r="J153" s="180">
        <v>11</v>
      </c>
      <c r="K153" s="183">
        <v>80</v>
      </c>
      <c r="L153" s="181">
        <f t="shared" si="29"/>
        <v>14.399999999999999</v>
      </c>
      <c r="M153" s="181">
        <f t="shared" si="30"/>
        <v>94.4</v>
      </c>
      <c r="N153" s="182">
        <f t="shared" si="31"/>
        <v>1038.4000000000001</v>
      </c>
      <c r="O153" s="182">
        <f>3+2</f>
        <v>5</v>
      </c>
      <c r="P153" s="181">
        <f t="shared" si="24"/>
        <v>6</v>
      </c>
      <c r="Q153" s="181">
        <f t="shared" si="32"/>
        <v>566.40000000000009</v>
      </c>
      <c r="R153" s="183"/>
      <c r="S153" s="184">
        <f t="shared" si="33"/>
        <v>94.40000000000002</v>
      </c>
    </row>
    <row r="154" spans="2:19" s="185" customFormat="1" ht="20.25" x14ac:dyDescent="0.3">
      <c r="B154" s="175">
        <v>146</v>
      </c>
      <c r="C154" s="176">
        <v>43609</v>
      </c>
      <c r="D154" s="176">
        <v>43609</v>
      </c>
      <c r="E154" s="177" t="s">
        <v>488</v>
      </c>
      <c r="F154" s="177" t="s">
        <v>489</v>
      </c>
      <c r="G154" s="178">
        <v>2</v>
      </c>
      <c r="H154" s="179">
        <v>460.2</v>
      </c>
      <c r="I154" s="175" t="s">
        <v>230</v>
      </c>
      <c r="J154" s="180">
        <v>24</v>
      </c>
      <c r="K154" s="183">
        <v>195</v>
      </c>
      <c r="L154" s="181">
        <f t="shared" si="29"/>
        <v>35.1</v>
      </c>
      <c r="M154" s="181">
        <f t="shared" si="30"/>
        <v>230.1</v>
      </c>
      <c r="N154" s="182">
        <f t="shared" si="31"/>
        <v>5522.4</v>
      </c>
      <c r="O154" s="182">
        <v>22</v>
      </c>
      <c r="P154" s="181">
        <f t="shared" si="24"/>
        <v>2</v>
      </c>
      <c r="Q154" s="181">
        <f t="shared" si="32"/>
        <v>460.2</v>
      </c>
      <c r="R154" s="183" t="s">
        <v>233</v>
      </c>
      <c r="S154" s="184">
        <f t="shared" si="33"/>
        <v>230.1</v>
      </c>
    </row>
    <row r="155" spans="2:19" s="185" customFormat="1" ht="20.25" x14ac:dyDescent="0.3">
      <c r="B155" s="175">
        <v>147</v>
      </c>
      <c r="C155" s="176">
        <v>43609</v>
      </c>
      <c r="D155" s="176">
        <v>43609</v>
      </c>
      <c r="E155" s="177" t="s">
        <v>488</v>
      </c>
      <c r="F155" s="177" t="s">
        <v>489</v>
      </c>
      <c r="G155" s="178">
        <v>2</v>
      </c>
      <c r="H155" s="179">
        <v>424.8</v>
      </c>
      <c r="I155" s="175" t="s">
        <v>230</v>
      </c>
      <c r="J155" s="180">
        <v>10</v>
      </c>
      <c r="K155" s="183">
        <v>180</v>
      </c>
      <c r="L155" s="181">
        <f t="shared" si="29"/>
        <v>32.4</v>
      </c>
      <c r="M155" s="181">
        <f t="shared" si="30"/>
        <v>212.4</v>
      </c>
      <c r="N155" s="182">
        <f t="shared" si="31"/>
        <v>2124</v>
      </c>
      <c r="O155" s="182">
        <v>8</v>
      </c>
      <c r="P155" s="181">
        <f t="shared" si="24"/>
        <v>2</v>
      </c>
      <c r="Q155" s="181">
        <f t="shared" si="32"/>
        <v>424.8</v>
      </c>
      <c r="R155" s="183" t="s">
        <v>233</v>
      </c>
      <c r="S155" s="184">
        <f t="shared" si="33"/>
        <v>212.4</v>
      </c>
    </row>
    <row r="156" spans="2:19" s="185" customFormat="1" ht="20.25" x14ac:dyDescent="0.3">
      <c r="B156" s="175">
        <v>148</v>
      </c>
      <c r="C156" s="176">
        <v>43252</v>
      </c>
      <c r="D156" s="176">
        <v>43252</v>
      </c>
      <c r="E156" s="177" t="s">
        <v>490</v>
      </c>
      <c r="F156" s="177" t="s">
        <v>491</v>
      </c>
      <c r="G156" s="178">
        <v>1</v>
      </c>
      <c r="H156" s="179">
        <v>61</v>
      </c>
      <c r="I156" s="175" t="s">
        <v>230</v>
      </c>
      <c r="J156" s="180">
        <v>10</v>
      </c>
      <c r="K156" s="183">
        <f>61</f>
        <v>61</v>
      </c>
      <c r="L156" s="181">
        <v>0</v>
      </c>
      <c r="M156" s="181">
        <f>+K156</f>
        <v>61</v>
      </c>
      <c r="N156" s="182">
        <f t="shared" si="31"/>
        <v>610</v>
      </c>
      <c r="O156" s="182">
        <f>3+1+1+1+1+1+1</f>
        <v>9</v>
      </c>
      <c r="P156" s="181">
        <f t="shared" si="24"/>
        <v>1</v>
      </c>
      <c r="Q156" s="181">
        <f t="shared" si="32"/>
        <v>61</v>
      </c>
      <c r="R156" s="183" t="s">
        <v>307</v>
      </c>
      <c r="S156" s="184">
        <f t="shared" si="33"/>
        <v>61</v>
      </c>
    </row>
    <row r="157" spans="2:19" s="185" customFormat="1" ht="20.25" x14ac:dyDescent="0.3">
      <c r="B157" s="175">
        <v>149</v>
      </c>
      <c r="C157" s="176">
        <v>44162</v>
      </c>
      <c r="D157" s="176">
        <v>44162</v>
      </c>
      <c r="E157" s="177" t="s">
        <v>490</v>
      </c>
      <c r="F157" s="177" t="s">
        <v>491</v>
      </c>
      <c r="G157" s="178">
        <v>16</v>
      </c>
      <c r="H157" s="179">
        <v>755.2</v>
      </c>
      <c r="I157" s="175" t="s">
        <v>230</v>
      </c>
      <c r="J157" s="180">
        <v>20</v>
      </c>
      <c r="K157" s="183">
        <v>40</v>
      </c>
      <c r="L157" s="181">
        <f t="shared" ref="L157:L171" si="34">+K157*18%</f>
        <v>7.1999999999999993</v>
      </c>
      <c r="M157" s="181">
        <f t="shared" ref="M157:M162" si="35">+K157+L157</f>
        <v>47.2</v>
      </c>
      <c r="N157" s="182">
        <f t="shared" si="31"/>
        <v>944</v>
      </c>
      <c r="O157" s="182">
        <f>1+1+1+1</f>
        <v>4</v>
      </c>
      <c r="P157" s="181">
        <f t="shared" si="24"/>
        <v>16</v>
      </c>
      <c r="Q157" s="181">
        <f t="shared" si="32"/>
        <v>755.2</v>
      </c>
      <c r="R157" s="183" t="s">
        <v>239</v>
      </c>
      <c r="S157" s="184"/>
    </row>
    <row r="158" spans="2:19" s="212" customFormat="1" ht="20.25" x14ac:dyDescent="0.3">
      <c r="B158" s="175">
        <v>150</v>
      </c>
      <c r="C158" s="206">
        <v>45036</v>
      </c>
      <c r="D158" s="176">
        <v>45036</v>
      </c>
      <c r="E158" s="207" t="s">
        <v>492</v>
      </c>
      <c r="F158" s="207" t="s">
        <v>493</v>
      </c>
      <c r="G158" s="178">
        <v>1</v>
      </c>
      <c r="H158" s="179">
        <v>53.1</v>
      </c>
      <c r="I158" s="208" t="s">
        <v>230</v>
      </c>
      <c r="J158" s="209">
        <v>1</v>
      </c>
      <c r="K158" s="210">
        <v>45</v>
      </c>
      <c r="L158" s="202">
        <f t="shared" si="34"/>
        <v>8.1</v>
      </c>
      <c r="M158" s="202">
        <f t="shared" si="35"/>
        <v>53.1</v>
      </c>
      <c r="N158" s="202">
        <f t="shared" si="31"/>
        <v>53.1</v>
      </c>
      <c r="O158" s="202"/>
      <c r="P158" s="202">
        <f>$J158-$O158</f>
        <v>1</v>
      </c>
      <c r="Q158" s="202">
        <f>$P158*$M158</f>
        <v>53.1</v>
      </c>
      <c r="R158" s="167" t="s">
        <v>258</v>
      </c>
      <c r="S158" s="211">
        <f t="shared" ref="S158:S171" si="36">Q158/P158</f>
        <v>53.1</v>
      </c>
    </row>
    <row r="159" spans="2:19" s="185" customFormat="1" ht="20.25" x14ac:dyDescent="0.3">
      <c r="B159" s="175">
        <v>151</v>
      </c>
      <c r="C159" s="176">
        <v>43830</v>
      </c>
      <c r="D159" s="176">
        <v>43830</v>
      </c>
      <c r="E159" s="177" t="s">
        <v>494</v>
      </c>
      <c r="F159" s="177" t="s">
        <v>495</v>
      </c>
      <c r="G159" s="178">
        <v>5</v>
      </c>
      <c r="H159" s="179">
        <v>424.8</v>
      </c>
      <c r="I159" s="175" t="s">
        <v>230</v>
      </c>
      <c r="J159" s="180">
        <v>5</v>
      </c>
      <c r="K159" s="183">
        <v>72</v>
      </c>
      <c r="L159" s="181">
        <f t="shared" si="34"/>
        <v>12.959999999999999</v>
      </c>
      <c r="M159" s="181">
        <f t="shared" si="35"/>
        <v>84.96</v>
      </c>
      <c r="N159" s="182">
        <f t="shared" si="31"/>
        <v>424.79999999999995</v>
      </c>
      <c r="O159" s="182"/>
      <c r="P159" s="181">
        <f t="shared" si="24"/>
        <v>5</v>
      </c>
      <c r="Q159" s="181">
        <f t="shared" si="32"/>
        <v>424.79999999999995</v>
      </c>
      <c r="R159" s="183"/>
      <c r="S159" s="184">
        <f t="shared" si="36"/>
        <v>84.96</v>
      </c>
    </row>
    <row r="160" spans="2:19" s="185" customFormat="1" ht="20.25" x14ac:dyDescent="0.3">
      <c r="B160" s="175">
        <v>152</v>
      </c>
      <c r="C160" s="176">
        <v>43830</v>
      </c>
      <c r="D160" s="176">
        <v>43830</v>
      </c>
      <c r="E160" s="177" t="s">
        <v>496</v>
      </c>
      <c r="F160" s="177" t="s">
        <v>497</v>
      </c>
      <c r="G160" s="178">
        <v>1</v>
      </c>
      <c r="H160" s="179">
        <v>2183</v>
      </c>
      <c r="I160" s="175" t="s">
        <v>230</v>
      </c>
      <c r="J160" s="180">
        <v>2</v>
      </c>
      <c r="K160" s="181">
        <v>1850</v>
      </c>
      <c r="L160" s="181">
        <f t="shared" si="34"/>
        <v>333</v>
      </c>
      <c r="M160" s="181">
        <f t="shared" si="35"/>
        <v>2183</v>
      </c>
      <c r="N160" s="182">
        <f t="shared" si="31"/>
        <v>4366</v>
      </c>
      <c r="O160" s="182">
        <v>1</v>
      </c>
      <c r="P160" s="181">
        <f t="shared" si="24"/>
        <v>1</v>
      </c>
      <c r="Q160" s="181">
        <f t="shared" si="32"/>
        <v>2183</v>
      </c>
      <c r="R160" s="183" t="s">
        <v>239</v>
      </c>
      <c r="S160" s="184">
        <f t="shared" si="36"/>
        <v>2183</v>
      </c>
    </row>
    <row r="161" spans="2:20" s="185" customFormat="1" ht="20.25" x14ac:dyDescent="0.3">
      <c r="B161" s="175">
        <v>153</v>
      </c>
      <c r="C161" s="176">
        <v>43830</v>
      </c>
      <c r="D161" s="176">
        <v>43830</v>
      </c>
      <c r="E161" s="177" t="s">
        <v>498</v>
      </c>
      <c r="F161" s="177" t="s">
        <v>499</v>
      </c>
      <c r="G161" s="178">
        <v>1</v>
      </c>
      <c r="H161" s="179">
        <v>2183</v>
      </c>
      <c r="I161" s="175" t="s">
        <v>230</v>
      </c>
      <c r="J161" s="180">
        <v>2</v>
      </c>
      <c r="K161" s="181">
        <v>1850</v>
      </c>
      <c r="L161" s="181">
        <f t="shared" si="34"/>
        <v>333</v>
      </c>
      <c r="M161" s="181">
        <f t="shared" si="35"/>
        <v>2183</v>
      </c>
      <c r="N161" s="182">
        <f t="shared" si="31"/>
        <v>4366</v>
      </c>
      <c r="O161" s="182">
        <v>1</v>
      </c>
      <c r="P161" s="181">
        <f t="shared" si="24"/>
        <v>1</v>
      </c>
      <c r="Q161" s="181">
        <f t="shared" si="32"/>
        <v>2183</v>
      </c>
      <c r="R161" s="183" t="s">
        <v>239</v>
      </c>
      <c r="S161" s="184">
        <f t="shared" si="36"/>
        <v>2183</v>
      </c>
    </row>
    <row r="162" spans="2:20" s="185" customFormat="1" ht="20.25" x14ac:dyDescent="0.3">
      <c r="B162" s="175">
        <v>154</v>
      </c>
      <c r="C162" s="176">
        <v>43830</v>
      </c>
      <c r="D162" s="176">
        <v>43830</v>
      </c>
      <c r="E162" s="177" t="s">
        <v>498</v>
      </c>
      <c r="F162" s="177" t="s">
        <v>500</v>
      </c>
      <c r="G162" s="178">
        <v>1</v>
      </c>
      <c r="H162" s="179">
        <v>4465.9931999999999</v>
      </c>
      <c r="I162" s="175" t="s">
        <v>230</v>
      </c>
      <c r="J162" s="180">
        <v>3</v>
      </c>
      <c r="K162" s="181">
        <v>3784.74</v>
      </c>
      <c r="L162" s="181">
        <f t="shared" si="34"/>
        <v>681.25319999999988</v>
      </c>
      <c r="M162" s="181">
        <f t="shared" si="35"/>
        <v>4465.9931999999999</v>
      </c>
      <c r="N162" s="182">
        <f t="shared" si="31"/>
        <v>13397.979599999999</v>
      </c>
      <c r="O162" s="182">
        <v>2</v>
      </c>
      <c r="P162" s="181">
        <f t="shared" si="24"/>
        <v>1</v>
      </c>
      <c r="Q162" s="181">
        <f t="shared" si="32"/>
        <v>4465.9931999999999</v>
      </c>
      <c r="R162" s="183"/>
      <c r="S162" s="184">
        <f t="shared" si="36"/>
        <v>4465.9931999999999</v>
      </c>
    </row>
    <row r="163" spans="2:20" s="185" customFormat="1" ht="20.25" x14ac:dyDescent="0.3">
      <c r="B163" s="175">
        <v>155</v>
      </c>
      <c r="C163" s="176">
        <v>43830</v>
      </c>
      <c r="D163" s="176">
        <v>43830</v>
      </c>
      <c r="E163" s="177" t="s">
        <v>501</v>
      </c>
      <c r="F163" s="177" t="s">
        <v>502</v>
      </c>
      <c r="G163" s="178">
        <v>2</v>
      </c>
      <c r="H163" s="179">
        <v>5923.72</v>
      </c>
      <c r="I163" s="175" t="s">
        <v>230</v>
      </c>
      <c r="J163" s="180">
        <v>10</v>
      </c>
      <c r="K163" s="181">
        <v>2961.86</v>
      </c>
      <c r="L163" s="181">
        <f t="shared" si="34"/>
        <v>533.13480000000004</v>
      </c>
      <c r="M163" s="181">
        <f t="shared" ref="M163:M169" si="37">+K163</f>
        <v>2961.86</v>
      </c>
      <c r="N163" s="182">
        <f t="shared" si="31"/>
        <v>29618.600000000002</v>
      </c>
      <c r="O163" s="182">
        <f>1+1+1+2+1+1+1</f>
        <v>8</v>
      </c>
      <c r="P163" s="181">
        <f t="shared" si="24"/>
        <v>2</v>
      </c>
      <c r="Q163" s="181">
        <f t="shared" si="32"/>
        <v>5923.72</v>
      </c>
      <c r="R163" s="183" t="s">
        <v>503</v>
      </c>
      <c r="S163" s="184">
        <f t="shared" si="36"/>
        <v>2961.86</v>
      </c>
    </row>
    <row r="164" spans="2:20" s="185" customFormat="1" ht="20.25" x14ac:dyDescent="0.3">
      <c r="B164" s="175">
        <v>156</v>
      </c>
      <c r="C164" s="176">
        <v>43830</v>
      </c>
      <c r="D164" s="176">
        <v>43830</v>
      </c>
      <c r="E164" s="177" t="s">
        <v>504</v>
      </c>
      <c r="F164" s="177" t="s">
        <v>505</v>
      </c>
      <c r="G164" s="178">
        <v>2</v>
      </c>
      <c r="H164" s="179">
        <v>7423.72</v>
      </c>
      <c r="I164" s="175" t="s">
        <v>230</v>
      </c>
      <c r="J164" s="180">
        <v>10</v>
      </c>
      <c r="K164" s="181">
        <v>3711.86</v>
      </c>
      <c r="L164" s="181">
        <f t="shared" si="34"/>
        <v>668.13480000000004</v>
      </c>
      <c r="M164" s="181">
        <f t="shared" si="37"/>
        <v>3711.86</v>
      </c>
      <c r="N164" s="182">
        <f t="shared" si="31"/>
        <v>37118.6</v>
      </c>
      <c r="O164" s="182">
        <f>1+1+1+1+1+1+1+1</f>
        <v>8</v>
      </c>
      <c r="P164" s="181">
        <f t="shared" si="24"/>
        <v>2</v>
      </c>
      <c r="Q164" s="181">
        <f t="shared" si="32"/>
        <v>7423.72</v>
      </c>
      <c r="R164" s="183" t="s">
        <v>503</v>
      </c>
      <c r="S164" s="184">
        <f t="shared" si="36"/>
        <v>3711.86</v>
      </c>
      <c r="T164" s="194"/>
    </row>
    <row r="165" spans="2:20" s="185" customFormat="1" ht="20.25" x14ac:dyDescent="0.3">
      <c r="B165" s="175">
        <v>157</v>
      </c>
      <c r="C165" s="176">
        <v>43830</v>
      </c>
      <c r="D165" s="176">
        <v>43830</v>
      </c>
      <c r="E165" s="177" t="s">
        <v>506</v>
      </c>
      <c r="F165" s="177" t="s">
        <v>507</v>
      </c>
      <c r="G165" s="178">
        <v>2</v>
      </c>
      <c r="H165" s="179">
        <v>7423.72</v>
      </c>
      <c r="I165" s="175" t="s">
        <v>230</v>
      </c>
      <c r="J165" s="180">
        <v>10</v>
      </c>
      <c r="K165" s="181">
        <v>3711.86</v>
      </c>
      <c r="L165" s="181">
        <f t="shared" si="34"/>
        <v>668.13480000000004</v>
      </c>
      <c r="M165" s="181">
        <f t="shared" si="37"/>
        <v>3711.86</v>
      </c>
      <c r="N165" s="182">
        <f t="shared" si="31"/>
        <v>37118.6</v>
      </c>
      <c r="O165" s="182">
        <f>1+1+1+1+1+1+1+1</f>
        <v>8</v>
      </c>
      <c r="P165" s="181">
        <f t="shared" si="24"/>
        <v>2</v>
      </c>
      <c r="Q165" s="181">
        <f t="shared" si="32"/>
        <v>7423.72</v>
      </c>
      <c r="R165" s="183" t="s">
        <v>503</v>
      </c>
      <c r="S165" s="184">
        <f t="shared" si="36"/>
        <v>3711.86</v>
      </c>
      <c r="T165" s="194"/>
    </row>
    <row r="166" spans="2:20" s="185" customFormat="1" ht="20.25" x14ac:dyDescent="0.3">
      <c r="B166" s="175">
        <v>158</v>
      </c>
      <c r="C166" s="176">
        <v>43830</v>
      </c>
      <c r="D166" s="176">
        <v>43830</v>
      </c>
      <c r="E166" s="177" t="s">
        <v>508</v>
      </c>
      <c r="F166" s="177" t="s">
        <v>509</v>
      </c>
      <c r="G166" s="178">
        <v>2</v>
      </c>
      <c r="H166" s="179">
        <v>7423.72</v>
      </c>
      <c r="I166" s="175" t="s">
        <v>230</v>
      </c>
      <c r="J166" s="180">
        <v>10</v>
      </c>
      <c r="K166" s="181">
        <v>3711.86</v>
      </c>
      <c r="L166" s="181">
        <f t="shared" si="34"/>
        <v>668.13480000000004</v>
      </c>
      <c r="M166" s="181">
        <f t="shared" si="37"/>
        <v>3711.86</v>
      </c>
      <c r="N166" s="182">
        <f t="shared" si="31"/>
        <v>37118.6</v>
      </c>
      <c r="O166" s="182">
        <f>1+1+1+1+1+1+1+1</f>
        <v>8</v>
      </c>
      <c r="P166" s="181">
        <f t="shared" si="24"/>
        <v>2</v>
      </c>
      <c r="Q166" s="181">
        <f t="shared" si="32"/>
        <v>7423.72</v>
      </c>
      <c r="R166" s="183" t="s">
        <v>503</v>
      </c>
      <c r="S166" s="184">
        <f t="shared" si="36"/>
        <v>3711.86</v>
      </c>
      <c r="T166" s="194"/>
    </row>
    <row r="167" spans="2:20" s="185" customFormat="1" ht="20.25" x14ac:dyDescent="0.3">
      <c r="B167" s="175">
        <v>159</v>
      </c>
      <c r="C167" s="176">
        <v>44162</v>
      </c>
      <c r="D167" s="176">
        <v>44162</v>
      </c>
      <c r="E167" s="177" t="s">
        <v>510</v>
      </c>
      <c r="F167" s="177" t="s">
        <v>511</v>
      </c>
      <c r="G167" s="178">
        <v>2</v>
      </c>
      <c r="H167" s="179">
        <v>6771.18</v>
      </c>
      <c r="I167" s="175" t="s">
        <v>230</v>
      </c>
      <c r="J167" s="180">
        <v>3</v>
      </c>
      <c r="K167" s="181">
        <v>3385.59</v>
      </c>
      <c r="L167" s="181">
        <f t="shared" si="34"/>
        <v>609.40620000000001</v>
      </c>
      <c r="M167" s="181">
        <f t="shared" si="37"/>
        <v>3385.59</v>
      </c>
      <c r="N167" s="182">
        <f t="shared" si="31"/>
        <v>10156.77</v>
      </c>
      <c r="O167" s="182">
        <v>1</v>
      </c>
      <c r="P167" s="181">
        <f t="shared" si="24"/>
        <v>2</v>
      </c>
      <c r="Q167" s="181">
        <f t="shared" si="32"/>
        <v>6771.18</v>
      </c>
      <c r="R167" s="183" t="s">
        <v>503</v>
      </c>
      <c r="S167" s="184">
        <f t="shared" si="36"/>
        <v>3385.59</v>
      </c>
      <c r="T167" s="194"/>
    </row>
    <row r="168" spans="2:20" s="185" customFormat="1" ht="20.25" x14ac:dyDescent="0.3">
      <c r="B168" s="175">
        <v>160</v>
      </c>
      <c r="C168" s="176">
        <v>43609</v>
      </c>
      <c r="D168" s="176">
        <v>43609</v>
      </c>
      <c r="E168" s="177" t="s">
        <v>512</v>
      </c>
      <c r="F168" s="177" t="s">
        <v>513</v>
      </c>
      <c r="G168" s="178">
        <v>2</v>
      </c>
      <c r="H168" s="179">
        <v>6771.18</v>
      </c>
      <c r="I168" s="175" t="s">
        <v>230</v>
      </c>
      <c r="J168" s="180">
        <v>3</v>
      </c>
      <c r="K168" s="181">
        <v>3385.59</v>
      </c>
      <c r="L168" s="181">
        <f>+K168*18%</f>
        <v>609.40620000000001</v>
      </c>
      <c r="M168" s="181">
        <f t="shared" si="37"/>
        <v>3385.59</v>
      </c>
      <c r="N168" s="182">
        <f t="shared" si="31"/>
        <v>10156.77</v>
      </c>
      <c r="O168" s="182">
        <v>1</v>
      </c>
      <c r="P168" s="181">
        <f t="shared" si="24"/>
        <v>2</v>
      </c>
      <c r="Q168" s="181">
        <f t="shared" si="32"/>
        <v>6771.18</v>
      </c>
      <c r="R168" s="183" t="s">
        <v>503</v>
      </c>
      <c r="S168" s="184">
        <f t="shared" si="36"/>
        <v>3385.59</v>
      </c>
      <c r="T168" s="194"/>
    </row>
    <row r="169" spans="2:20" s="212" customFormat="1" ht="20.25" x14ac:dyDescent="0.3">
      <c r="B169" s="175">
        <v>161</v>
      </c>
      <c r="C169" s="206">
        <v>43252</v>
      </c>
      <c r="D169" s="176">
        <v>43252</v>
      </c>
      <c r="E169" s="207" t="s">
        <v>514</v>
      </c>
      <c r="F169" s="207" t="s">
        <v>515</v>
      </c>
      <c r="G169" s="178">
        <v>1</v>
      </c>
      <c r="H169" s="179">
        <v>3385.59</v>
      </c>
      <c r="I169" s="208" t="s">
        <v>230</v>
      </c>
      <c r="J169" s="209">
        <v>3</v>
      </c>
      <c r="K169" s="202">
        <v>3385.59</v>
      </c>
      <c r="L169" s="202">
        <f t="shared" si="34"/>
        <v>609.40620000000001</v>
      </c>
      <c r="M169" s="202">
        <f t="shared" si="37"/>
        <v>3385.59</v>
      </c>
      <c r="N169" s="202">
        <f t="shared" si="31"/>
        <v>10156.77</v>
      </c>
      <c r="O169" s="202">
        <f>1+1</f>
        <v>2</v>
      </c>
      <c r="P169" s="202">
        <f t="shared" si="24"/>
        <v>1</v>
      </c>
      <c r="Q169" s="202">
        <f t="shared" si="32"/>
        <v>3385.59</v>
      </c>
      <c r="R169" s="210" t="s">
        <v>503</v>
      </c>
      <c r="S169" s="211">
        <f t="shared" si="36"/>
        <v>3385.59</v>
      </c>
      <c r="T169" s="213"/>
    </row>
    <row r="170" spans="2:20" s="212" customFormat="1" ht="20.25" x14ac:dyDescent="0.3">
      <c r="B170" s="175">
        <v>162</v>
      </c>
      <c r="C170" s="206">
        <v>45036</v>
      </c>
      <c r="D170" s="176">
        <v>45036</v>
      </c>
      <c r="E170" s="189" t="s">
        <v>516</v>
      </c>
      <c r="F170" s="207" t="s">
        <v>517</v>
      </c>
      <c r="G170" s="178">
        <v>2</v>
      </c>
      <c r="H170" s="179">
        <v>708</v>
      </c>
      <c r="I170" s="208" t="s">
        <v>230</v>
      </c>
      <c r="J170" s="209">
        <v>6</v>
      </c>
      <c r="K170" s="202">
        <v>150</v>
      </c>
      <c r="L170" s="202">
        <f>+K170*18%</f>
        <v>27</v>
      </c>
      <c r="M170" s="202">
        <f>+K170+L170</f>
        <v>177</v>
      </c>
      <c r="N170" s="202">
        <f>$J170*$M170</f>
        <v>1062</v>
      </c>
      <c r="O170" s="202">
        <v>4</v>
      </c>
      <c r="P170" s="202">
        <v>4</v>
      </c>
      <c r="Q170" s="202">
        <f t="shared" si="32"/>
        <v>708</v>
      </c>
      <c r="R170" s="167" t="s">
        <v>258</v>
      </c>
      <c r="S170" s="211">
        <f t="shared" si="36"/>
        <v>177</v>
      </c>
      <c r="T170" s="213"/>
    </row>
    <row r="171" spans="2:20" s="185" customFormat="1" ht="21" thickBot="1" x14ac:dyDescent="0.35">
      <c r="B171" s="175">
        <v>163</v>
      </c>
      <c r="C171" s="176">
        <v>43609</v>
      </c>
      <c r="D171" s="176">
        <v>43609</v>
      </c>
      <c r="E171" s="177" t="s">
        <v>518</v>
      </c>
      <c r="F171" s="177" t="s">
        <v>519</v>
      </c>
      <c r="G171" s="178">
        <v>1</v>
      </c>
      <c r="H171" s="179">
        <v>70.8</v>
      </c>
      <c r="I171" s="175" t="s">
        <v>230</v>
      </c>
      <c r="J171" s="180">
        <v>20</v>
      </c>
      <c r="K171" s="181">
        <v>60</v>
      </c>
      <c r="L171" s="181">
        <f t="shared" si="34"/>
        <v>10.799999999999999</v>
      </c>
      <c r="M171" s="181">
        <f>+K171+L171</f>
        <v>70.8</v>
      </c>
      <c r="N171" s="182">
        <f t="shared" si="31"/>
        <v>1416</v>
      </c>
      <c r="O171" s="182">
        <f>3+1+1+1+1+1+8+1+2</f>
        <v>19</v>
      </c>
      <c r="P171" s="181">
        <f t="shared" si="24"/>
        <v>1</v>
      </c>
      <c r="Q171" s="181">
        <f t="shared" si="32"/>
        <v>70.8</v>
      </c>
      <c r="R171" s="183" t="s">
        <v>233</v>
      </c>
      <c r="S171" s="184">
        <f t="shared" si="36"/>
        <v>70.8</v>
      </c>
    </row>
    <row r="172" spans="2:20" s="165" customFormat="1" ht="21" thickBot="1" x14ac:dyDescent="0.35">
      <c r="B172" s="175"/>
      <c r="C172" s="214"/>
      <c r="D172" s="214"/>
      <c r="E172" s="214"/>
      <c r="F172" s="214"/>
      <c r="G172" s="215"/>
      <c r="H172" s="216">
        <v>475595.08230109501</v>
      </c>
      <c r="I172" s="191"/>
      <c r="J172" s="192"/>
      <c r="K172" s="217"/>
      <c r="L172" s="167"/>
      <c r="M172" s="167"/>
      <c r="N172" s="182"/>
      <c r="O172" s="167"/>
      <c r="P172" s="182"/>
      <c r="Q172" s="218">
        <f>SUM(Q9:Q171)</f>
        <v>486725.10330109531</v>
      </c>
      <c r="R172" s="167"/>
      <c r="S172" s="193"/>
      <c r="T172" s="219"/>
    </row>
    <row r="173" spans="2:20" ht="31.5" x14ac:dyDescent="0.5">
      <c r="B173" s="220" t="s">
        <v>520</v>
      </c>
      <c r="C173" s="221"/>
      <c r="D173" s="221"/>
      <c r="E173" s="221"/>
      <c r="F173" s="221"/>
      <c r="G173" s="221"/>
      <c r="H173" s="221"/>
      <c r="I173" s="221"/>
      <c r="J173" s="221"/>
      <c r="K173" s="221"/>
      <c r="L173" s="221"/>
      <c r="M173" s="221"/>
      <c r="N173" s="221"/>
      <c r="O173" s="221"/>
      <c r="P173" s="221"/>
      <c r="Q173" s="221"/>
      <c r="R173" s="222"/>
    </row>
    <row r="174" spans="2:20" s="162" customFormat="1" ht="20.25" x14ac:dyDescent="0.3">
      <c r="B174" s="170" t="s">
        <v>213</v>
      </c>
      <c r="C174" s="171" t="s">
        <v>214</v>
      </c>
      <c r="D174" s="171" t="s">
        <v>215</v>
      </c>
      <c r="E174" s="171" t="s">
        <v>216</v>
      </c>
      <c r="F174" s="171" t="s">
        <v>217</v>
      </c>
      <c r="G174" s="171" t="s">
        <v>218</v>
      </c>
      <c r="H174" s="171" t="s">
        <v>219</v>
      </c>
      <c r="I174" s="171" t="s">
        <v>220</v>
      </c>
      <c r="J174" s="173" t="s">
        <v>221</v>
      </c>
      <c r="K174" s="173" t="s">
        <v>222</v>
      </c>
      <c r="L174" s="173" t="s">
        <v>223</v>
      </c>
      <c r="M174" s="173" t="s">
        <v>224</v>
      </c>
      <c r="N174" s="174" t="s">
        <v>225</v>
      </c>
      <c r="O174" s="174" t="s">
        <v>226</v>
      </c>
      <c r="P174" s="173" t="s">
        <v>218</v>
      </c>
      <c r="Q174" s="173" t="s">
        <v>219</v>
      </c>
      <c r="R174" s="173" t="s">
        <v>227</v>
      </c>
    </row>
    <row r="175" spans="2:20" s="185" customFormat="1" ht="20.25" x14ac:dyDescent="0.3">
      <c r="B175" s="175">
        <v>1</v>
      </c>
      <c r="C175" s="176">
        <v>44916</v>
      </c>
      <c r="D175" s="176">
        <v>44916</v>
      </c>
      <c r="E175" s="177" t="s">
        <v>521</v>
      </c>
      <c r="F175" s="177" t="s">
        <v>522</v>
      </c>
      <c r="G175" s="178">
        <v>6</v>
      </c>
      <c r="H175" s="223">
        <v>2124</v>
      </c>
      <c r="I175" s="175" t="s">
        <v>523</v>
      </c>
      <c r="J175" s="180">
        <v>12</v>
      </c>
      <c r="K175" s="181">
        <v>300</v>
      </c>
      <c r="L175" s="181">
        <f t="shared" ref="L175:L195" si="38">+K175*18%</f>
        <v>54</v>
      </c>
      <c r="M175" s="181">
        <f t="shared" ref="M175:M195" si="39">+K175+L175</f>
        <v>354</v>
      </c>
      <c r="N175" s="182">
        <f t="shared" ref="N175:N195" si="40">$J175*$M175</f>
        <v>4248</v>
      </c>
      <c r="O175" s="182">
        <v>6</v>
      </c>
      <c r="P175" s="181">
        <f t="shared" ref="P175:P194" si="41">$J175-$O175</f>
        <v>6</v>
      </c>
      <c r="Q175" s="181">
        <f t="shared" ref="Q175:Q194" si="42">$P175*$M175</f>
        <v>2124</v>
      </c>
      <c r="R175" s="183" t="s">
        <v>524</v>
      </c>
      <c r="S175" s="184"/>
    </row>
    <row r="176" spans="2:20" s="185" customFormat="1" ht="20.25" x14ac:dyDescent="0.3">
      <c r="B176" s="175">
        <v>2</v>
      </c>
      <c r="C176" s="176">
        <v>44551</v>
      </c>
      <c r="D176" s="176">
        <v>44551</v>
      </c>
      <c r="E176" s="177" t="s">
        <v>525</v>
      </c>
      <c r="F176" s="177" t="s">
        <v>526</v>
      </c>
      <c r="G176" s="178">
        <v>6</v>
      </c>
      <c r="H176" s="223">
        <v>3540</v>
      </c>
      <c r="I176" s="175" t="s">
        <v>523</v>
      </c>
      <c r="J176" s="180">
        <v>12</v>
      </c>
      <c r="K176" s="181">
        <v>500</v>
      </c>
      <c r="L176" s="181">
        <f t="shared" si="38"/>
        <v>90</v>
      </c>
      <c r="M176" s="181">
        <f t="shared" si="39"/>
        <v>590</v>
      </c>
      <c r="N176" s="182">
        <f t="shared" si="40"/>
        <v>7080</v>
      </c>
      <c r="O176" s="182">
        <v>6</v>
      </c>
      <c r="P176" s="181">
        <f t="shared" si="41"/>
        <v>6</v>
      </c>
      <c r="Q176" s="181">
        <f t="shared" si="42"/>
        <v>3540</v>
      </c>
      <c r="R176" s="183" t="s">
        <v>524</v>
      </c>
      <c r="S176" s="184"/>
    </row>
    <row r="177" spans="2:20" s="185" customFormat="1" ht="20.25" x14ac:dyDescent="0.3">
      <c r="B177" s="175">
        <v>3</v>
      </c>
      <c r="C177" s="176" t="s">
        <v>527</v>
      </c>
      <c r="D177" s="176" t="s">
        <v>527</v>
      </c>
      <c r="E177" s="177" t="s">
        <v>528</v>
      </c>
      <c r="F177" s="177" t="s">
        <v>529</v>
      </c>
      <c r="G177" s="178">
        <v>6</v>
      </c>
      <c r="H177" s="223">
        <v>2832</v>
      </c>
      <c r="I177" s="175" t="s">
        <v>523</v>
      </c>
      <c r="J177" s="180">
        <v>12</v>
      </c>
      <c r="K177" s="181">
        <v>400</v>
      </c>
      <c r="L177" s="181">
        <f t="shared" si="38"/>
        <v>72</v>
      </c>
      <c r="M177" s="181">
        <f t="shared" si="39"/>
        <v>472</v>
      </c>
      <c r="N177" s="182">
        <f t="shared" si="40"/>
        <v>5664</v>
      </c>
      <c r="O177" s="182">
        <v>6</v>
      </c>
      <c r="P177" s="181">
        <f t="shared" si="41"/>
        <v>6</v>
      </c>
      <c r="Q177" s="181">
        <f t="shared" si="42"/>
        <v>2832</v>
      </c>
      <c r="R177" s="183" t="s">
        <v>524</v>
      </c>
      <c r="S177" s="184"/>
    </row>
    <row r="178" spans="2:20" s="185" customFormat="1" ht="20.25" x14ac:dyDescent="0.3">
      <c r="B178" s="175">
        <v>4</v>
      </c>
      <c r="C178" s="176" t="s">
        <v>398</v>
      </c>
      <c r="D178" s="176">
        <v>44180</v>
      </c>
      <c r="E178" s="177" t="s">
        <v>234</v>
      </c>
      <c r="F178" s="177" t="s">
        <v>530</v>
      </c>
      <c r="G178" s="178">
        <v>1</v>
      </c>
      <c r="H178" s="223">
        <v>678.5</v>
      </c>
      <c r="I178" s="175" t="s">
        <v>230</v>
      </c>
      <c r="J178" s="180">
        <v>2</v>
      </c>
      <c r="K178" s="181">
        <v>575</v>
      </c>
      <c r="L178" s="181">
        <f t="shared" si="38"/>
        <v>103.5</v>
      </c>
      <c r="M178" s="181">
        <f t="shared" si="39"/>
        <v>678.5</v>
      </c>
      <c r="N178" s="182">
        <f t="shared" si="40"/>
        <v>1357</v>
      </c>
      <c r="O178" s="182">
        <v>1</v>
      </c>
      <c r="P178" s="181">
        <f t="shared" si="41"/>
        <v>1</v>
      </c>
      <c r="Q178" s="181">
        <f t="shared" si="42"/>
        <v>678.5</v>
      </c>
      <c r="R178" s="183" t="s">
        <v>531</v>
      </c>
      <c r="S178" s="184"/>
      <c r="T178" s="194"/>
    </row>
    <row r="179" spans="2:20" s="185" customFormat="1" ht="20.25" x14ac:dyDescent="0.3">
      <c r="B179" s="175">
        <v>5</v>
      </c>
      <c r="C179" s="176" t="s">
        <v>398</v>
      </c>
      <c r="D179" s="176">
        <v>44180</v>
      </c>
      <c r="E179" s="177" t="s">
        <v>231</v>
      </c>
      <c r="F179" s="177" t="s">
        <v>532</v>
      </c>
      <c r="G179" s="178">
        <v>2</v>
      </c>
      <c r="H179" s="223">
        <v>1640.2</v>
      </c>
      <c r="I179" s="175" t="s">
        <v>230</v>
      </c>
      <c r="J179" s="180">
        <v>2</v>
      </c>
      <c r="K179" s="181">
        <v>695</v>
      </c>
      <c r="L179" s="181">
        <f t="shared" si="38"/>
        <v>125.1</v>
      </c>
      <c r="M179" s="181">
        <f t="shared" si="39"/>
        <v>820.1</v>
      </c>
      <c r="N179" s="182">
        <f t="shared" si="40"/>
        <v>1640.2</v>
      </c>
      <c r="O179" s="182">
        <v>0</v>
      </c>
      <c r="P179" s="181">
        <f t="shared" si="41"/>
        <v>2</v>
      </c>
      <c r="Q179" s="181">
        <f t="shared" si="42"/>
        <v>1640.2</v>
      </c>
      <c r="R179" s="183" t="s">
        <v>531</v>
      </c>
      <c r="S179" s="184"/>
    </row>
    <row r="180" spans="2:20" s="185" customFormat="1" ht="20.25" x14ac:dyDescent="0.3">
      <c r="B180" s="175">
        <v>6</v>
      </c>
      <c r="C180" s="176" t="s">
        <v>398</v>
      </c>
      <c r="D180" s="176">
        <v>44180</v>
      </c>
      <c r="E180" s="177" t="s">
        <v>533</v>
      </c>
      <c r="F180" s="177" t="s">
        <v>534</v>
      </c>
      <c r="G180" s="178">
        <v>2</v>
      </c>
      <c r="H180" s="223">
        <v>1711</v>
      </c>
      <c r="I180" s="175" t="s">
        <v>230</v>
      </c>
      <c r="J180" s="180">
        <v>2</v>
      </c>
      <c r="K180" s="181">
        <v>725</v>
      </c>
      <c r="L180" s="181">
        <f t="shared" si="38"/>
        <v>130.5</v>
      </c>
      <c r="M180" s="181">
        <f t="shared" si="39"/>
        <v>855.5</v>
      </c>
      <c r="N180" s="182">
        <f t="shared" si="40"/>
        <v>1711</v>
      </c>
      <c r="O180" s="182">
        <v>0</v>
      </c>
      <c r="P180" s="181">
        <f t="shared" si="41"/>
        <v>2</v>
      </c>
      <c r="Q180" s="181">
        <f t="shared" si="42"/>
        <v>1711</v>
      </c>
      <c r="R180" s="183" t="s">
        <v>531</v>
      </c>
      <c r="S180" s="184"/>
    </row>
    <row r="181" spans="2:20" s="185" customFormat="1" ht="20.25" x14ac:dyDescent="0.3">
      <c r="B181" s="175">
        <v>7</v>
      </c>
      <c r="C181" s="176">
        <v>43830</v>
      </c>
      <c r="D181" s="176">
        <v>43830</v>
      </c>
      <c r="E181" s="177" t="s">
        <v>535</v>
      </c>
      <c r="F181" s="177" t="s">
        <v>536</v>
      </c>
      <c r="G181" s="178">
        <v>8</v>
      </c>
      <c r="H181" s="223">
        <v>4804.96</v>
      </c>
      <c r="I181" s="175" t="s">
        <v>230</v>
      </c>
      <c r="J181" s="180">
        <v>8</v>
      </c>
      <c r="K181" s="181">
        <v>509</v>
      </c>
      <c r="L181" s="181">
        <f t="shared" si="38"/>
        <v>91.61999999999999</v>
      </c>
      <c r="M181" s="181">
        <f t="shared" si="39"/>
        <v>600.62</v>
      </c>
      <c r="N181" s="182">
        <f t="shared" si="40"/>
        <v>4804.96</v>
      </c>
      <c r="O181" s="182">
        <v>0</v>
      </c>
      <c r="P181" s="181">
        <f t="shared" si="41"/>
        <v>8</v>
      </c>
      <c r="Q181" s="181">
        <f t="shared" si="42"/>
        <v>4804.96</v>
      </c>
      <c r="R181" s="183" t="s">
        <v>537</v>
      </c>
      <c r="S181" s="184">
        <f>Q181/P181</f>
        <v>600.62</v>
      </c>
    </row>
    <row r="182" spans="2:20" s="185" customFormat="1" ht="20.25" x14ac:dyDescent="0.3">
      <c r="B182" s="175">
        <v>8</v>
      </c>
      <c r="C182" s="176">
        <v>45076</v>
      </c>
      <c r="D182" s="176">
        <v>45076</v>
      </c>
      <c r="E182" s="177" t="s">
        <v>538</v>
      </c>
      <c r="F182" s="177" t="s">
        <v>539</v>
      </c>
      <c r="G182" s="178">
        <v>3</v>
      </c>
      <c r="H182" s="223">
        <v>4109.9754000000003</v>
      </c>
      <c r="I182" s="175" t="s">
        <v>230</v>
      </c>
      <c r="J182" s="180">
        <v>3</v>
      </c>
      <c r="K182" s="181">
        <v>1161.01</v>
      </c>
      <c r="L182" s="181">
        <f t="shared" si="38"/>
        <v>208.98179999999999</v>
      </c>
      <c r="M182" s="181">
        <f t="shared" si="39"/>
        <v>1369.9918</v>
      </c>
      <c r="N182" s="182">
        <f t="shared" si="40"/>
        <v>4109.9754000000003</v>
      </c>
      <c r="O182" s="182">
        <v>0</v>
      </c>
      <c r="P182" s="181">
        <f t="shared" si="41"/>
        <v>3</v>
      </c>
      <c r="Q182" s="181">
        <f t="shared" si="42"/>
        <v>4109.9754000000003</v>
      </c>
      <c r="R182" s="183" t="s">
        <v>537</v>
      </c>
      <c r="S182" s="184">
        <f>Q182/P182</f>
        <v>1369.9918</v>
      </c>
    </row>
    <row r="183" spans="2:20" s="185" customFormat="1" ht="20.25" x14ac:dyDescent="0.3">
      <c r="B183" s="175">
        <v>9</v>
      </c>
      <c r="C183" s="188">
        <v>45146</v>
      </c>
      <c r="D183" s="176">
        <v>45146</v>
      </c>
      <c r="E183" s="177" t="s">
        <v>540</v>
      </c>
      <c r="F183" s="177" t="s">
        <v>541</v>
      </c>
      <c r="G183" s="178">
        <v>10</v>
      </c>
      <c r="H183" s="223">
        <v>708</v>
      </c>
      <c r="I183" s="175" t="s">
        <v>523</v>
      </c>
      <c r="J183" s="180">
        <f>24+60</f>
        <v>84</v>
      </c>
      <c r="K183" s="181">
        <v>60</v>
      </c>
      <c r="L183" s="181">
        <f t="shared" si="38"/>
        <v>10.799999999999999</v>
      </c>
      <c r="M183" s="181">
        <f t="shared" si="39"/>
        <v>70.8</v>
      </c>
      <c r="N183" s="182">
        <f t="shared" si="40"/>
        <v>5947.2</v>
      </c>
      <c r="O183" s="182">
        <f>6+54+14</f>
        <v>74</v>
      </c>
      <c r="P183" s="181">
        <f t="shared" si="41"/>
        <v>10</v>
      </c>
      <c r="Q183" s="181">
        <f t="shared" si="42"/>
        <v>708</v>
      </c>
      <c r="R183" s="183" t="s">
        <v>542</v>
      </c>
      <c r="S183" s="184"/>
    </row>
    <row r="184" spans="2:20" s="185" customFormat="1" ht="20.25" x14ac:dyDescent="0.3">
      <c r="B184" s="175">
        <v>10</v>
      </c>
      <c r="C184" s="188">
        <v>45146</v>
      </c>
      <c r="D184" s="176">
        <v>45146</v>
      </c>
      <c r="E184" s="177" t="s">
        <v>540</v>
      </c>
      <c r="F184" s="177" t="s">
        <v>543</v>
      </c>
      <c r="G184" s="178">
        <v>10</v>
      </c>
      <c r="H184" s="223">
        <v>708</v>
      </c>
      <c r="I184" s="175" t="s">
        <v>523</v>
      </c>
      <c r="J184" s="180">
        <v>10</v>
      </c>
      <c r="K184" s="181">
        <v>60</v>
      </c>
      <c r="L184" s="181">
        <f t="shared" si="38"/>
        <v>10.799999999999999</v>
      </c>
      <c r="M184" s="181">
        <f t="shared" si="39"/>
        <v>70.8</v>
      </c>
      <c r="N184" s="182">
        <f t="shared" si="40"/>
        <v>708</v>
      </c>
      <c r="O184" s="182"/>
      <c r="P184" s="181">
        <f t="shared" si="41"/>
        <v>10</v>
      </c>
      <c r="Q184" s="181">
        <f t="shared" si="42"/>
        <v>708</v>
      </c>
      <c r="R184" s="183" t="s">
        <v>542</v>
      </c>
      <c r="S184" s="184"/>
    </row>
    <row r="185" spans="2:20" s="185" customFormat="1" ht="20.25" x14ac:dyDescent="0.3">
      <c r="B185" s="175">
        <v>11</v>
      </c>
      <c r="C185" s="176">
        <v>44916</v>
      </c>
      <c r="D185" s="176">
        <v>44916</v>
      </c>
      <c r="E185" s="177" t="s">
        <v>544</v>
      </c>
      <c r="F185" s="177" t="s">
        <v>545</v>
      </c>
      <c r="G185" s="178">
        <v>10</v>
      </c>
      <c r="H185" s="223">
        <v>1298</v>
      </c>
      <c r="I185" s="175" t="s">
        <v>523</v>
      </c>
      <c r="J185" s="180">
        <f>24+60</f>
        <v>84</v>
      </c>
      <c r="K185" s="181">
        <v>110</v>
      </c>
      <c r="L185" s="181">
        <f t="shared" si="38"/>
        <v>19.8</v>
      </c>
      <c r="M185" s="181">
        <f t="shared" si="39"/>
        <v>129.80000000000001</v>
      </c>
      <c r="N185" s="182">
        <f t="shared" si="40"/>
        <v>10903.2</v>
      </c>
      <c r="O185" s="182">
        <f>6+54+14</f>
        <v>74</v>
      </c>
      <c r="P185" s="181">
        <f t="shared" si="41"/>
        <v>10</v>
      </c>
      <c r="Q185" s="181">
        <f t="shared" si="42"/>
        <v>1298</v>
      </c>
      <c r="R185" s="183" t="s">
        <v>542</v>
      </c>
      <c r="S185" s="184"/>
      <c r="T185" s="194"/>
    </row>
    <row r="186" spans="2:20" s="185" customFormat="1" ht="20.25" x14ac:dyDescent="0.3">
      <c r="B186" s="175">
        <v>12</v>
      </c>
      <c r="C186" s="176">
        <v>43252</v>
      </c>
      <c r="D186" s="176">
        <v>43252</v>
      </c>
      <c r="E186" s="177" t="s">
        <v>546</v>
      </c>
      <c r="F186" s="177" t="s">
        <v>547</v>
      </c>
      <c r="G186" s="178">
        <v>1</v>
      </c>
      <c r="H186" s="223">
        <v>1088.55</v>
      </c>
      <c r="I186" s="175" t="s">
        <v>230</v>
      </c>
      <c r="J186" s="180">
        <v>1</v>
      </c>
      <c r="K186" s="181">
        <v>922.5</v>
      </c>
      <c r="L186" s="181">
        <f t="shared" si="38"/>
        <v>166.04999999999998</v>
      </c>
      <c r="M186" s="181">
        <f t="shared" si="39"/>
        <v>1088.55</v>
      </c>
      <c r="N186" s="182">
        <f t="shared" si="40"/>
        <v>1088.55</v>
      </c>
      <c r="O186" s="182">
        <v>0</v>
      </c>
      <c r="P186" s="181">
        <f t="shared" si="41"/>
        <v>1</v>
      </c>
      <c r="Q186" s="181">
        <f t="shared" si="42"/>
        <v>1088.55</v>
      </c>
      <c r="R186" s="183" t="s">
        <v>350</v>
      </c>
      <c r="S186" s="184">
        <f>Q186/P186</f>
        <v>1088.55</v>
      </c>
      <c r="T186" s="194"/>
    </row>
    <row r="187" spans="2:20" s="185" customFormat="1" ht="20.25" x14ac:dyDescent="0.3">
      <c r="B187" s="175">
        <v>13</v>
      </c>
      <c r="C187" s="176">
        <v>44162</v>
      </c>
      <c r="D187" s="176">
        <v>44162</v>
      </c>
      <c r="E187" s="177" t="s">
        <v>548</v>
      </c>
      <c r="F187" s="177" t="s">
        <v>549</v>
      </c>
      <c r="G187" s="178">
        <v>2</v>
      </c>
      <c r="H187" s="223">
        <v>3345.3</v>
      </c>
      <c r="I187" s="175" t="s">
        <v>230</v>
      </c>
      <c r="J187" s="180">
        <v>2</v>
      </c>
      <c r="K187" s="181">
        <v>1417.5</v>
      </c>
      <c r="L187" s="181">
        <f t="shared" si="38"/>
        <v>255.14999999999998</v>
      </c>
      <c r="M187" s="181">
        <f t="shared" si="39"/>
        <v>1672.65</v>
      </c>
      <c r="N187" s="182">
        <f t="shared" si="40"/>
        <v>3345.3</v>
      </c>
      <c r="O187" s="182">
        <v>0</v>
      </c>
      <c r="P187" s="181">
        <f t="shared" si="41"/>
        <v>2</v>
      </c>
      <c r="Q187" s="181">
        <f t="shared" si="42"/>
        <v>3345.3</v>
      </c>
      <c r="R187" s="183" t="s">
        <v>350</v>
      </c>
      <c r="S187" s="184">
        <f>Q187/P187</f>
        <v>1672.65</v>
      </c>
      <c r="T187" s="194"/>
    </row>
    <row r="188" spans="2:20" s="185" customFormat="1" ht="20.25" x14ac:dyDescent="0.3">
      <c r="B188" s="175">
        <v>14</v>
      </c>
      <c r="C188" s="176">
        <v>43318</v>
      </c>
      <c r="D188" s="176">
        <v>43318</v>
      </c>
      <c r="E188" s="177" t="s">
        <v>550</v>
      </c>
      <c r="F188" s="177" t="s">
        <v>551</v>
      </c>
      <c r="G188" s="178">
        <v>1</v>
      </c>
      <c r="H188" s="223">
        <v>1239</v>
      </c>
      <c r="I188" s="175" t="s">
        <v>230</v>
      </c>
      <c r="J188" s="180">
        <v>1</v>
      </c>
      <c r="K188" s="181">
        <v>1050</v>
      </c>
      <c r="L188" s="181">
        <f t="shared" si="38"/>
        <v>189</v>
      </c>
      <c r="M188" s="181">
        <f t="shared" si="39"/>
        <v>1239</v>
      </c>
      <c r="N188" s="182">
        <f t="shared" si="40"/>
        <v>1239</v>
      </c>
      <c r="O188" s="182">
        <v>0</v>
      </c>
      <c r="P188" s="181">
        <f t="shared" si="41"/>
        <v>1</v>
      </c>
      <c r="Q188" s="181">
        <f t="shared" si="42"/>
        <v>1239</v>
      </c>
      <c r="R188" s="183" t="s">
        <v>350</v>
      </c>
      <c r="S188" s="184">
        <f>Q188/P188</f>
        <v>1239</v>
      </c>
      <c r="T188" s="194"/>
    </row>
    <row r="189" spans="2:20" s="185" customFormat="1" ht="20.25" x14ac:dyDescent="0.3">
      <c r="B189" s="175">
        <v>15</v>
      </c>
      <c r="C189" s="176">
        <v>43252</v>
      </c>
      <c r="D189" s="176">
        <v>43252</v>
      </c>
      <c r="E189" s="177" t="s">
        <v>552</v>
      </c>
      <c r="F189" s="177" t="s">
        <v>553</v>
      </c>
      <c r="G189" s="178">
        <v>1</v>
      </c>
      <c r="H189" s="223">
        <v>3540</v>
      </c>
      <c r="I189" s="175" t="s">
        <v>230</v>
      </c>
      <c r="J189" s="180">
        <v>1</v>
      </c>
      <c r="K189" s="181">
        <v>3000</v>
      </c>
      <c r="L189" s="181">
        <f t="shared" si="38"/>
        <v>540</v>
      </c>
      <c r="M189" s="181">
        <f t="shared" si="39"/>
        <v>3540</v>
      </c>
      <c r="N189" s="182">
        <f t="shared" si="40"/>
        <v>3540</v>
      </c>
      <c r="O189" s="182">
        <v>0</v>
      </c>
      <c r="P189" s="181">
        <f t="shared" si="41"/>
        <v>1</v>
      </c>
      <c r="Q189" s="181">
        <f t="shared" si="42"/>
        <v>3540</v>
      </c>
      <c r="R189" s="183"/>
      <c r="S189" s="184">
        <f>Q189/P189</f>
        <v>3540</v>
      </c>
      <c r="T189" s="194"/>
    </row>
    <row r="190" spans="2:20" s="185" customFormat="1" ht="20.25" x14ac:dyDescent="0.3">
      <c r="B190" s="175">
        <v>16</v>
      </c>
      <c r="C190" s="176" t="s">
        <v>527</v>
      </c>
      <c r="D190" s="176" t="s">
        <v>527</v>
      </c>
      <c r="E190" s="177" t="s">
        <v>554</v>
      </c>
      <c r="F190" s="177" t="s">
        <v>555</v>
      </c>
      <c r="G190" s="178">
        <v>15</v>
      </c>
      <c r="H190" s="223">
        <v>3540</v>
      </c>
      <c r="I190" s="175" t="s">
        <v>523</v>
      </c>
      <c r="J190" s="180">
        <v>15</v>
      </c>
      <c r="K190" s="181">
        <v>200</v>
      </c>
      <c r="L190" s="181">
        <f t="shared" si="38"/>
        <v>36</v>
      </c>
      <c r="M190" s="181">
        <f t="shared" si="39"/>
        <v>236</v>
      </c>
      <c r="N190" s="182">
        <f t="shared" si="40"/>
        <v>3540</v>
      </c>
      <c r="O190" s="182">
        <v>0</v>
      </c>
      <c r="P190" s="181">
        <f t="shared" si="41"/>
        <v>15</v>
      </c>
      <c r="Q190" s="181">
        <f t="shared" si="42"/>
        <v>3540</v>
      </c>
      <c r="R190" s="183" t="s">
        <v>524</v>
      </c>
      <c r="S190" s="184"/>
      <c r="T190" s="194"/>
    </row>
    <row r="191" spans="2:20" s="185" customFormat="1" ht="20.25" x14ac:dyDescent="0.3">
      <c r="B191" s="175">
        <v>17</v>
      </c>
      <c r="C191" s="176" t="s">
        <v>556</v>
      </c>
      <c r="D191" s="176" t="s">
        <v>556</v>
      </c>
      <c r="E191" s="177" t="s">
        <v>557</v>
      </c>
      <c r="F191" s="177" t="s">
        <v>558</v>
      </c>
      <c r="G191" s="178">
        <v>17</v>
      </c>
      <c r="H191" s="223">
        <v>7141.36</v>
      </c>
      <c r="I191" s="175" t="s">
        <v>523</v>
      </c>
      <c r="J191" s="180">
        <v>20</v>
      </c>
      <c r="K191" s="181">
        <v>356</v>
      </c>
      <c r="L191" s="181">
        <f t="shared" si="38"/>
        <v>64.08</v>
      </c>
      <c r="M191" s="181">
        <f t="shared" si="39"/>
        <v>420.08</v>
      </c>
      <c r="N191" s="182">
        <f t="shared" si="40"/>
        <v>8401.6</v>
      </c>
      <c r="O191" s="182">
        <v>3</v>
      </c>
      <c r="P191" s="181">
        <f t="shared" si="41"/>
        <v>17</v>
      </c>
      <c r="Q191" s="181">
        <f t="shared" si="42"/>
        <v>7141.36</v>
      </c>
      <c r="R191" s="183" t="s">
        <v>537</v>
      </c>
      <c r="S191" s="184">
        <f>Q191/P191</f>
        <v>420.08</v>
      </c>
      <c r="T191" s="194"/>
    </row>
    <row r="192" spans="2:20" s="185" customFormat="1" ht="20.25" x14ac:dyDescent="0.3">
      <c r="B192" s="175">
        <v>18</v>
      </c>
      <c r="C192" s="176">
        <v>43252</v>
      </c>
      <c r="D192" s="176">
        <v>43252</v>
      </c>
      <c r="E192" s="177" t="s">
        <v>559</v>
      </c>
      <c r="F192" s="177" t="s">
        <v>560</v>
      </c>
      <c r="G192" s="178">
        <v>12</v>
      </c>
      <c r="H192" s="223">
        <v>2053.1999999999998</v>
      </c>
      <c r="I192" s="175" t="s">
        <v>230</v>
      </c>
      <c r="J192" s="180">
        <v>24</v>
      </c>
      <c r="K192" s="181">
        <v>145</v>
      </c>
      <c r="L192" s="181">
        <f t="shared" si="38"/>
        <v>26.099999999999998</v>
      </c>
      <c r="M192" s="181">
        <f t="shared" si="39"/>
        <v>171.1</v>
      </c>
      <c r="N192" s="182">
        <f t="shared" si="40"/>
        <v>4106.3999999999996</v>
      </c>
      <c r="O192" s="182">
        <v>12</v>
      </c>
      <c r="P192" s="181">
        <f t="shared" si="41"/>
        <v>12</v>
      </c>
      <c r="Q192" s="181">
        <f t="shared" si="42"/>
        <v>2053.1999999999998</v>
      </c>
      <c r="R192" s="183"/>
      <c r="S192" s="184">
        <f>Q192/P192</f>
        <v>171.1</v>
      </c>
    </row>
    <row r="193" spans="2:19" s="185" customFormat="1" ht="20.25" x14ac:dyDescent="0.3">
      <c r="B193" s="175">
        <v>19</v>
      </c>
      <c r="C193" s="188">
        <v>45146</v>
      </c>
      <c r="D193" s="176">
        <v>45146</v>
      </c>
      <c r="E193" s="177" t="s">
        <v>561</v>
      </c>
      <c r="F193" s="177" t="s">
        <v>562</v>
      </c>
      <c r="G193" s="178">
        <v>24</v>
      </c>
      <c r="H193" s="223">
        <v>1699.2</v>
      </c>
      <c r="I193" s="175" t="s">
        <v>523</v>
      </c>
      <c r="J193" s="180">
        <f>24+60</f>
        <v>84</v>
      </c>
      <c r="K193" s="181">
        <v>60</v>
      </c>
      <c r="L193" s="181">
        <f t="shared" si="38"/>
        <v>10.799999999999999</v>
      </c>
      <c r="M193" s="181">
        <f t="shared" si="39"/>
        <v>70.8</v>
      </c>
      <c r="N193" s="182">
        <f t="shared" si="40"/>
        <v>5947.2</v>
      </c>
      <c r="O193" s="182">
        <f>6+54</f>
        <v>60</v>
      </c>
      <c r="P193" s="181">
        <f t="shared" si="41"/>
        <v>24</v>
      </c>
      <c r="Q193" s="181">
        <f t="shared" si="42"/>
        <v>1699.1999999999998</v>
      </c>
      <c r="R193" s="183" t="s">
        <v>542</v>
      </c>
      <c r="S193" s="184"/>
    </row>
    <row r="194" spans="2:19" s="185" customFormat="1" ht="20.25" x14ac:dyDescent="0.3">
      <c r="B194" s="175">
        <v>20</v>
      </c>
      <c r="C194" s="176" t="s">
        <v>398</v>
      </c>
      <c r="D194" s="176">
        <v>44180</v>
      </c>
      <c r="E194" s="177" t="s">
        <v>563</v>
      </c>
      <c r="F194" s="177" t="s">
        <v>564</v>
      </c>
      <c r="G194" s="178">
        <v>12</v>
      </c>
      <c r="H194" s="223">
        <v>1047.8399999999999</v>
      </c>
      <c r="I194" s="175" t="s">
        <v>355</v>
      </c>
      <c r="J194" s="180">
        <v>12</v>
      </c>
      <c r="K194" s="181">
        <v>74</v>
      </c>
      <c r="L194" s="181">
        <f t="shared" si="38"/>
        <v>13.32</v>
      </c>
      <c r="M194" s="181">
        <f t="shared" si="39"/>
        <v>87.32</v>
      </c>
      <c r="N194" s="182">
        <f t="shared" si="40"/>
        <v>1047.8399999999999</v>
      </c>
      <c r="O194" s="182"/>
      <c r="P194" s="181">
        <f t="shared" si="41"/>
        <v>12</v>
      </c>
      <c r="Q194" s="181">
        <f t="shared" si="42"/>
        <v>1047.8399999999999</v>
      </c>
      <c r="R194" s="183" t="s">
        <v>531</v>
      </c>
      <c r="S194" s="184"/>
    </row>
    <row r="195" spans="2:19" s="185" customFormat="1" ht="20.25" x14ac:dyDescent="0.3">
      <c r="B195" s="175">
        <v>21</v>
      </c>
      <c r="C195" s="176" t="s">
        <v>556</v>
      </c>
      <c r="D195" s="176" t="s">
        <v>556</v>
      </c>
      <c r="E195" s="177" t="s">
        <v>565</v>
      </c>
      <c r="F195" s="177" t="s">
        <v>566</v>
      </c>
      <c r="G195" s="178">
        <v>4</v>
      </c>
      <c r="H195" s="223">
        <v>4800.24</v>
      </c>
      <c r="I195" s="175" t="s">
        <v>523</v>
      </c>
      <c r="J195" s="180">
        <v>8</v>
      </c>
      <c r="K195" s="181">
        <v>1017</v>
      </c>
      <c r="L195" s="181">
        <f t="shared" si="38"/>
        <v>183.06</v>
      </c>
      <c r="M195" s="181">
        <f t="shared" si="39"/>
        <v>1200.06</v>
      </c>
      <c r="N195" s="182">
        <f t="shared" si="40"/>
        <v>9600.48</v>
      </c>
      <c r="O195" s="182">
        <v>4</v>
      </c>
      <c r="P195" s="181">
        <f>$J195-$O195</f>
        <v>4</v>
      </c>
      <c r="Q195" s="181">
        <f>$P195*$M195</f>
        <v>4800.24</v>
      </c>
      <c r="R195" s="183" t="s">
        <v>537</v>
      </c>
      <c r="S195" s="184">
        <f>Q195/P195</f>
        <v>1200.06</v>
      </c>
    </row>
    <row r="196" spans="2:19" s="165" customFormat="1" ht="20.25" x14ac:dyDescent="0.3">
      <c r="B196" s="175">
        <v>22</v>
      </c>
      <c r="C196" s="188">
        <v>44980</v>
      </c>
      <c r="D196" s="176">
        <v>44980</v>
      </c>
      <c r="E196" s="189" t="s">
        <v>567</v>
      </c>
      <c r="F196" s="189" t="s">
        <v>568</v>
      </c>
      <c r="G196" s="178">
        <v>3</v>
      </c>
      <c r="H196" s="223">
        <v>449.97</v>
      </c>
      <c r="I196" s="224" t="s">
        <v>230</v>
      </c>
      <c r="J196" s="192">
        <v>3</v>
      </c>
      <c r="K196" s="182">
        <f>+M196/1.18</f>
        <v>127.11016949152544</v>
      </c>
      <c r="L196" s="182">
        <f>+M196-K196</f>
        <v>22.879830508474569</v>
      </c>
      <c r="M196" s="182">
        <v>149.99</v>
      </c>
      <c r="N196" s="202">
        <f>$J196*$M196</f>
        <v>449.97</v>
      </c>
      <c r="O196" s="182">
        <v>0</v>
      </c>
      <c r="P196" s="182">
        <f t="shared" ref="P196:P217" si="43">$J196-$O196</f>
        <v>3</v>
      </c>
      <c r="Q196" s="182">
        <f t="shared" ref="Q196:Q211" si="44">$P196*$M196</f>
        <v>449.97</v>
      </c>
      <c r="R196" s="167" t="s">
        <v>569</v>
      </c>
      <c r="S196" s="193"/>
    </row>
    <row r="197" spans="2:19" s="165" customFormat="1" ht="20.25" x14ac:dyDescent="0.3">
      <c r="B197" s="175">
        <v>23</v>
      </c>
      <c r="C197" s="188">
        <v>44980</v>
      </c>
      <c r="D197" s="176">
        <v>44980</v>
      </c>
      <c r="E197" s="189" t="s">
        <v>570</v>
      </c>
      <c r="F197" s="189" t="s">
        <v>571</v>
      </c>
      <c r="G197" s="178">
        <v>3</v>
      </c>
      <c r="H197" s="223">
        <v>419.97</v>
      </c>
      <c r="I197" s="224" t="s">
        <v>230</v>
      </c>
      <c r="J197" s="192">
        <v>3</v>
      </c>
      <c r="K197" s="182">
        <f t="shared" ref="K197:K211" si="45">+M197/1.18</f>
        <v>118.635593220339</v>
      </c>
      <c r="L197" s="182">
        <v>64.06</v>
      </c>
      <c r="M197" s="182">
        <v>139.99</v>
      </c>
      <c r="N197" s="202">
        <f>$J197*$M197</f>
        <v>419.97</v>
      </c>
      <c r="O197" s="182">
        <v>0</v>
      </c>
      <c r="P197" s="182">
        <f t="shared" si="43"/>
        <v>3</v>
      </c>
      <c r="Q197" s="182">
        <f t="shared" si="44"/>
        <v>419.97</v>
      </c>
      <c r="R197" s="167" t="s">
        <v>569</v>
      </c>
      <c r="S197" s="193"/>
    </row>
    <row r="198" spans="2:19" s="165" customFormat="1" ht="20.25" x14ac:dyDescent="0.3">
      <c r="B198" s="175">
        <v>24</v>
      </c>
      <c r="C198" s="188">
        <v>44980</v>
      </c>
      <c r="D198" s="176">
        <v>44980</v>
      </c>
      <c r="E198" s="189" t="s">
        <v>572</v>
      </c>
      <c r="F198" s="189" t="s">
        <v>573</v>
      </c>
      <c r="G198" s="178">
        <v>3</v>
      </c>
      <c r="H198" s="223">
        <v>435</v>
      </c>
      <c r="I198" s="224" t="s">
        <v>230</v>
      </c>
      <c r="J198" s="192">
        <v>3</v>
      </c>
      <c r="K198" s="182">
        <f t="shared" si="45"/>
        <v>122.88135593220339</v>
      </c>
      <c r="L198" s="182">
        <v>66.349999999999994</v>
      </c>
      <c r="M198" s="182">
        <v>145</v>
      </c>
      <c r="N198" s="202">
        <f>$J198*$M198</f>
        <v>435</v>
      </c>
      <c r="O198" s="182">
        <v>0</v>
      </c>
      <c r="P198" s="182">
        <f t="shared" si="43"/>
        <v>3</v>
      </c>
      <c r="Q198" s="182">
        <f t="shared" si="44"/>
        <v>435</v>
      </c>
      <c r="R198" s="167" t="s">
        <v>569</v>
      </c>
      <c r="S198" s="193"/>
    </row>
    <row r="199" spans="2:19" s="165" customFormat="1" ht="20.25" x14ac:dyDescent="0.3">
      <c r="B199" s="175">
        <v>25</v>
      </c>
      <c r="C199" s="188">
        <v>44981</v>
      </c>
      <c r="D199" s="176">
        <v>44981</v>
      </c>
      <c r="E199" s="189" t="s">
        <v>574</v>
      </c>
      <c r="F199" s="189" t="s">
        <v>575</v>
      </c>
      <c r="G199" s="178">
        <v>3</v>
      </c>
      <c r="H199" s="223">
        <v>2099.94</v>
      </c>
      <c r="I199" s="224" t="s">
        <v>355</v>
      </c>
      <c r="J199" s="192">
        <v>3</v>
      </c>
      <c r="K199" s="182">
        <f t="shared" si="45"/>
        <v>593.20338983050851</v>
      </c>
      <c r="L199" s="182">
        <v>320.33</v>
      </c>
      <c r="M199" s="182">
        <v>699.98</v>
      </c>
      <c r="N199" s="202">
        <f>$J199*$M199</f>
        <v>2099.94</v>
      </c>
      <c r="O199" s="182">
        <v>0</v>
      </c>
      <c r="P199" s="182">
        <f t="shared" si="43"/>
        <v>3</v>
      </c>
      <c r="Q199" s="182">
        <f t="shared" si="44"/>
        <v>2099.94</v>
      </c>
      <c r="R199" s="167" t="s">
        <v>569</v>
      </c>
      <c r="S199" s="193"/>
    </row>
    <row r="200" spans="2:19" s="165" customFormat="1" ht="20.25" x14ac:dyDescent="0.3">
      <c r="B200" s="175">
        <v>26</v>
      </c>
      <c r="C200" s="188">
        <v>44980</v>
      </c>
      <c r="D200" s="176">
        <v>44980</v>
      </c>
      <c r="E200" s="189" t="s">
        <v>576</v>
      </c>
      <c r="F200" s="189" t="s">
        <v>577</v>
      </c>
      <c r="G200" s="178">
        <v>16</v>
      </c>
      <c r="H200" s="223">
        <v>3359.84</v>
      </c>
      <c r="I200" s="191" t="s">
        <v>355</v>
      </c>
      <c r="J200" s="192">
        <f>10+10</f>
        <v>20</v>
      </c>
      <c r="K200" s="182">
        <f t="shared" si="45"/>
        <v>177.9576271186441</v>
      </c>
      <c r="L200" s="182">
        <v>320.32</v>
      </c>
      <c r="M200" s="182">
        <v>209.99</v>
      </c>
      <c r="N200" s="202">
        <f t="shared" ref="N200:N203" si="46">$J200*$M200</f>
        <v>4199.8</v>
      </c>
      <c r="O200" s="182">
        <f>2+2</f>
        <v>4</v>
      </c>
      <c r="P200" s="182">
        <f t="shared" si="43"/>
        <v>16</v>
      </c>
      <c r="Q200" s="182">
        <f t="shared" si="44"/>
        <v>3359.84</v>
      </c>
      <c r="R200" s="167" t="s">
        <v>569</v>
      </c>
      <c r="S200" s="193"/>
    </row>
    <row r="201" spans="2:19" s="165" customFormat="1" ht="20.25" x14ac:dyDescent="0.3">
      <c r="B201" s="175">
        <v>27</v>
      </c>
      <c r="C201" s="188">
        <v>44980</v>
      </c>
      <c r="D201" s="176">
        <v>44980</v>
      </c>
      <c r="E201" s="189" t="s">
        <v>578</v>
      </c>
      <c r="F201" s="189" t="s">
        <v>579</v>
      </c>
      <c r="G201" s="178">
        <v>13</v>
      </c>
      <c r="H201" s="223">
        <v>1949.87</v>
      </c>
      <c r="I201" s="191" t="s">
        <v>355</v>
      </c>
      <c r="J201" s="192">
        <v>15</v>
      </c>
      <c r="K201" s="182">
        <f t="shared" si="45"/>
        <v>127.11016949152544</v>
      </c>
      <c r="L201" s="182">
        <v>411.85</v>
      </c>
      <c r="M201" s="182">
        <v>149.99</v>
      </c>
      <c r="N201" s="202">
        <f t="shared" si="46"/>
        <v>2249.8500000000004</v>
      </c>
      <c r="O201" s="182">
        <v>2</v>
      </c>
      <c r="P201" s="182">
        <f t="shared" si="43"/>
        <v>13</v>
      </c>
      <c r="Q201" s="182">
        <f t="shared" si="44"/>
        <v>1949.8700000000001</v>
      </c>
      <c r="R201" s="167" t="s">
        <v>569</v>
      </c>
      <c r="S201" s="193"/>
    </row>
    <row r="202" spans="2:19" s="165" customFormat="1" ht="20.25" x14ac:dyDescent="0.3">
      <c r="B202" s="175">
        <v>28</v>
      </c>
      <c r="C202" s="188">
        <v>45146</v>
      </c>
      <c r="D202" s="176">
        <v>45146</v>
      </c>
      <c r="E202" s="189" t="s">
        <v>580</v>
      </c>
      <c r="F202" s="189" t="s">
        <v>581</v>
      </c>
      <c r="G202" s="178">
        <v>13</v>
      </c>
      <c r="H202" s="223">
        <v>2377.6999999999998</v>
      </c>
      <c r="I202" s="191" t="s">
        <v>355</v>
      </c>
      <c r="J202" s="192">
        <v>15</v>
      </c>
      <c r="K202" s="182">
        <v>155</v>
      </c>
      <c r="L202" s="182">
        <f>+K202*0.18</f>
        <v>27.9</v>
      </c>
      <c r="M202" s="182">
        <f>+L202+K202</f>
        <v>182.9</v>
      </c>
      <c r="N202" s="202">
        <f t="shared" si="46"/>
        <v>2743.5</v>
      </c>
      <c r="O202" s="182">
        <v>2</v>
      </c>
      <c r="P202" s="182">
        <f t="shared" si="43"/>
        <v>13</v>
      </c>
      <c r="Q202" s="182"/>
      <c r="R202" s="167"/>
      <c r="S202" s="193"/>
    </row>
    <row r="203" spans="2:19" s="165" customFormat="1" ht="20.25" x14ac:dyDescent="0.3">
      <c r="B203" s="175">
        <v>29</v>
      </c>
      <c r="C203" s="188">
        <v>44980</v>
      </c>
      <c r="D203" s="176">
        <v>44980</v>
      </c>
      <c r="E203" s="189" t="s">
        <v>582</v>
      </c>
      <c r="F203" s="189" t="s">
        <v>583</v>
      </c>
      <c r="G203" s="178">
        <v>35</v>
      </c>
      <c r="H203" s="223">
        <v>6300</v>
      </c>
      <c r="I203" s="191" t="s">
        <v>355</v>
      </c>
      <c r="J203" s="192">
        <f>15+26</f>
        <v>41</v>
      </c>
      <c r="K203" s="182">
        <f t="shared" si="45"/>
        <v>152.54237288135593</v>
      </c>
      <c r="L203" s="182">
        <v>18</v>
      </c>
      <c r="M203" s="182">
        <v>180</v>
      </c>
      <c r="N203" s="202">
        <f t="shared" si="46"/>
        <v>7380</v>
      </c>
      <c r="O203" s="182">
        <f>2+4</f>
        <v>6</v>
      </c>
      <c r="P203" s="182">
        <f t="shared" si="43"/>
        <v>35</v>
      </c>
      <c r="Q203" s="182">
        <f t="shared" si="44"/>
        <v>6300</v>
      </c>
      <c r="R203" s="167" t="s">
        <v>569</v>
      </c>
      <c r="S203" s="193"/>
    </row>
    <row r="204" spans="2:19" s="165" customFormat="1" ht="20.25" x14ac:dyDescent="0.3">
      <c r="B204" s="175">
        <v>30</v>
      </c>
      <c r="C204" s="188">
        <v>44980</v>
      </c>
      <c r="D204" s="176">
        <v>44980</v>
      </c>
      <c r="E204" s="189" t="s">
        <v>584</v>
      </c>
      <c r="F204" s="189" t="s">
        <v>585</v>
      </c>
      <c r="G204" s="178">
        <v>47</v>
      </c>
      <c r="H204" s="223">
        <v>8224.5300000000007</v>
      </c>
      <c r="I204" s="191" t="s">
        <v>355</v>
      </c>
      <c r="J204" s="192">
        <f>30+60</f>
        <v>90</v>
      </c>
      <c r="K204" s="182">
        <f t="shared" si="45"/>
        <v>148.29661016949154</v>
      </c>
      <c r="L204" s="182">
        <v>724.12</v>
      </c>
      <c r="M204" s="182">
        <v>174.99</v>
      </c>
      <c r="N204" s="202">
        <f>$J204*$M204</f>
        <v>15749.1</v>
      </c>
      <c r="O204" s="182">
        <f>4+7+7+6+6+10+3</f>
        <v>43</v>
      </c>
      <c r="P204" s="182">
        <f t="shared" si="43"/>
        <v>47</v>
      </c>
      <c r="Q204" s="182">
        <f t="shared" si="44"/>
        <v>8224.5300000000007</v>
      </c>
      <c r="R204" s="167" t="s">
        <v>586</v>
      </c>
      <c r="S204" s="193"/>
    </row>
    <row r="205" spans="2:19" s="165" customFormat="1" ht="20.25" x14ac:dyDescent="0.3">
      <c r="B205" s="175">
        <v>31</v>
      </c>
      <c r="C205" s="188">
        <v>44980</v>
      </c>
      <c r="D205" s="176">
        <v>44980</v>
      </c>
      <c r="E205" s="189" t="s">
        <v>587</v>
      </c>
      <c r="F205" s="189" t="s">
        <v>588</v>
      </c>
      <c r="G205" s="178">
        <v>1</v>
      </c>
      <c r="H205" s="223">
        <v>559.95000000000005</v>
      </c>
      <c r="I205" s="191" t="s">
        <v>230</v>
      </c>
      <c r="J205" s="192">
        <v>1</v>
      </c>
      <c r="K205" s="182">
        <f t="shared" si="45"/>
        <v>474.53389830508479</v>
      </c>
      <c r="L205" s="182">
        <v>85.42</v>
      </c>
      <c r="M205" s="182">
        <v>559.95000000000005</v>
      </c>
      <c r="N205" s="202">
        <f t="shared" ref="N205:N216" si="47">$J205*$M205</f>
        <v>559.95000000000005</v>
      </c>
      <c r="O205" s="182">
        <v>0</v>
      </c>
      <c r="P205" s="182">
        <f t="shared" si="43"/>
        <v>1</v>
      </c>
      <c r="Q205" s="182">
        <f t="shared" si="44"/>
        <v>559.95000000000005</v>
      </c>
      <c r="R205" s="167" t="s">
        <v>569</v>
      </c>
      <c r="S205" s="193"/>
    </row>
    <row r="206" spans="2:19" s="165" customFormat="1" ht="20.25" x14ac:dyDescent="0.3">
      <c r="B206" s="175">
        <v>32</v>
      </c>
      <c r="C206" s="188">
        <v>45161</v>
      </c>
      <c r="D206" s="176">
        <v>45161</v>
      </c>
      <c r="E206" s="189" t="s">
        <v>589</v>
      </c>
      <c r="F206" s="189" t="s">
        <v>590</v>
      </c>
      <c r="G206" s="178">
        <v>1</v>
      </c>
      <c r="H206" s="223">
        <v>1121</v>
      </c>
      <c r="I206" s="191" t="s">
        <v>230</v>
      </c>
      <c r="J206" s="192">
        <f>1+1</f>
        <v>2</v>
      </c>
      <c r="K206" s="182">
        <v>950</v>
      </c>
      <c r="L206" s="182">
        <f>+K206*0.18</f>
        <v>171</v>
      </c>
      <c r="M206" s="182">
        <f>+K206+L206</f>
        <v>1121</v>
      </c>
      <c r="N206" s="202">
        <f t="shared" si="47"/>
        <v>2242</v>
      </c>
      <c r="O206" s="182">
        <v>1</v>
      </c>
      <c r="P206" s="182">
        <f t="shared" si="43"/>
        <v>1</v>
      </c>
      <c r="Q206" s="182">
        <f t="shared" si="44"/>
        <v>1121</v>
      </c>
      <c r="R206" s="167" t="s">
        <v>569</v>
      </c>
      <c r="S206" s="193"/>
    </row>
    <row r="207" spans="2:19" s="165" customFormat="1" ht="20.25" x14ac:dyDescent="0.3">
      <c r="B207" s="175">
        <v>33</v>
      </c>
      <c r="C207" s="188">
        <v>45161</v>
      </c>
      <c r="D207" s="176">
        <v>45161</v>
      </c>
      <c r="E207" s="189" t="s">
        <v>591</v>
      </c>
      <c r="F207" s="189" t="s">
        <v>592</v>
      </c>
      <c r="G207" s="178">
        <v>9</v>
      </c>
      <c r="H207" s="223">
        <v>3374.91</v>
      </c>
      <c r="I207" s="191" t="s">
        <v>286</v>
      </c>
      <c r="J207" s="192">
        <f>5+5</f>
        <v>10</v>
      </c>
      <c r="K207" s="182">
        <f t="shared" si="45"/>
        <v>317.78813559322037</v>
      </c>
      <c r="L207" s="182">
        <v>286</v>
      </c>
      <c r="M207" s="182">
        <v>374.99</v>
      </c>
      <c r="N207" s="202">
        <f t="shared" si="47"/>
        <v>3749.9</v>
      </c>
      <c r="O207" s="182">
        <v>1</v>
      </c>
      <c r="P207" s="182">
        <f t="shared" si="43"/>
        <v>9</v>
      </c>
      <c r="Q207" s="182">
        <f t="shared" si="44"/>
        <v>3374.91</v>
      </c>
      <c r="R207" s="167" t="s">
        <v>593</v>
      </c>
      <c r="S207" s="193"/>
    </row>
    <row r="208" spans="2:19" s="165" customFormat="1" ht="20.25" x14ac:dyDescent="0.3">
      <c r="B208" s="175">
        <v>34</v>
      </c>
      <c r="C208" s="188">
        <v>44980</v>
      </c>
      <c r="D208" s="176">
        <v>44980</v>
      </c>
      <c r="E208" s="189" t="s">
        <v>594</v>
      </c>
      <c r="F208" s="189" t="s">
        <v>595</v>
      </c>
      <c r="G208" s="178">
        <v>1</v>
      </c>
      <c r="H208" s="223">
        <v>280</v>
      </c>
      <c r="I208" s="191" t="s">
        <v>230</v>
      </c>
      <c r="J208" s="192">
        <v>2</v>
      </c>
      <c r="K208" s="182">
        <f t="shared" si="45"/>
        <v>237.28813559322035</v>
      </c>
      <c r="L208" s="182">
        <v>0</v>
      </c>
      <c r="M208" s="182">
        <v>280</v>
      </c>
      <c r="N208" s="202">
        <f t="shared" si="47"/>
        <v>560</v>
      </c>
      <c r="O208" s="182">
        <v>1</v>
      </c>
      <c r="P208" s="182">
        <f t="shared" si="43"/>
        <v>1</v>
      </c>
      <c r="Q208" s="182">
        <f t="shared" si="44"/>
        <v>280</v>
      </c>
      <c r="R208" s="167" t="s">
        <v>569</v>
      </c>
      <c r="S208" s="193"/>
    </row>
    <row r="209" spans="1:20" s="165" customFormat="1" ht="20.25" x14ac:dyDescent="0.3">
      <c r="B209" s="175">
        <v>35</v>
      </c>
      <c r="C209" s="188">
        <v>45161</v>
      </c>
      <c r="D209" s="176">
        <v>45161</v>
      </c>
      <c r="E209" s="189" t="s">
        <v>596</v>
      </c>
      <c r="F209" s="189" t="s">
        <v>597</v>
      </c>
      <c r="G209" s="178">
        <v>4</v>
      </c>
      <c r="H209" s="223">
        <v>920</v>
      </c>
      <c r="I209" s="191" t="s">
        <v>230</v>
      </c>
      <c r="J209" s="192">
        <f>4+2</f>
        <v>6</v>
      </c>
      <c r="K209" s="182">
        <f t="shared" si="45"/>
        <v>194.91525423728814</v>
      </c>
      <c r="L209" s="182">
        <v>0</v>
      </c>
      <c r="M209" s="182">
        <v>230</v>
      </c>
      <c r="N209" s="202">
        <f t="shared" si="47"/>
        <v>1380</v>
      </c>
      <c r="O209" s="182">
        <f>1+1</f>
        <v>2</v>
      </c>
      <c r="P209" s="182">
        <f t="shared" si="43"/>
        <v>4</v>
      </c>
      <c r="Q209" s="182">
        <f t="shared" si="44"/>
        <v>920</v>
      </c>
      <c r="R209" s="167" t="s">
        <v>569</v>
      </c>
      <c r="S209" s="193"/>
    </row>
    <row r="210" spans="1:20" s="165" customFormat="1" ht="20.25" x14ac:dyDescent="0.3">
      <c r="B210" s="175">
        <v>36</v>
      </c>
      <c r="C210" s="188">
        <v>44980</v>
      </c>
      <c r="D210" s="176">
        <v>44980</v>
      </c>
      <c r="E210" s="189" t="s">
        <v>598</v>
      </c>
      <c r="F210" s="189" t="s">
        <v>599</v>
      </c>
      <c r="G210" s="178">
        <v>1</v>
      </c>
      <c r="H210" s="223">
        <v>48</v>
      </c>
      <c r="I210" s="191" t="s">
        <v>230</v>
      </c>
      <c r="J210" s="192">
        <v>2</v>
      </c>
      <c r="K210" s="182">
        <f t="shared" si="45"/>
        <v>40.677966101694921</v>
      </c>
      <c r="L210" s="182">
        <v>0</v>
      </c>
      <c r="M210" s="182">
        <v>48</v>
      </c>
      <c r="N210" s="202">
        <f t="shared" si="47"/>
        <v>96</v>
      </c>
      <c r="O210" s="182">
        <v>1</v>
      </c>
      <c r="P210" s="182">
        <f t="shared" si="43"/>
        <v>1</v>
      </c>
      <c r="Q210" s="182">
        <f t="shared" si="44"/>
        <v>48</v>
      </c>
      <c r="R210" s="167" t="s">
        <v>569</v>
      </c>
      <c r="S210" s="193"/>
    </row>
    <row r="211" spans="1:20" s="165" customFormat="1" ht="20.25" x14ac:dyDescent="0.3">
      <c r="B211" s="175">
        <v>37</v>
      </c>
      <c r="C211" s="188">
        <v>44980</v>
      </c>
      <c r="D211" s="176">
        <v>44980</v>
      </c>
      <c r="E211" s="189" t="s">
        <v>600</v>
      </c>
      <c r="F211" s="189" t="s">
        <v>601</v>
      </c>
      <c r="G211" s="178">
        <v>2</v>
      </c>
      <c r="H211" s="223">
        <v>1039</v>
      </c>
      <c r="I211" s="191" t="s">
        <v>230</v>
      </c>
      <c r="J211" s="192">
        <v>2</v>
      </c>
      <c r="K211" s="182">
        <f t="shared" si="45"/>
        <v>440.25423728813564</v>
      </c>
      <c r="L211" s="182">
        <v>158.63999999999999</v>
      </c>
      <c r="M211" s="182">
        <v>519.5</v>
      </c>
      <c r="N211" s="202">
        <f t="shared" si="47"/>
        <v>1039</v>
      </c>
      <c r="O211" s="182">
        <v>0</v>
      </c>
      <c r="P211" s="202">
        <f t="shared" si="43"/>
        <v>2</v>
      </c>
      <c r="Q211" s="182">
        <f t="shared" si="44"/>
        <v>1039</v>
      </c>
      <c r="R211" s="167" t="s">
        <v>569</v>
      </c>
      <c r="S211" s="193"/>
    </row>
    <row r="212" spans="1:20" s="165" customFormat="1" ht="20.25" x14ac:dyDescent="0.3">
      <c r="B212" s="175">
        <v>38</v>
      </c>
      <c r="C212" s="188">
        <v>45013</v>
      </c>
      <c r="D212" s="176">
        <v>45013</v>
      </c>
      <c r="E212" s="189" t="s">
        <v>602</v>
      </c>
      <c r="F212" s="189" t="s">
        <v>603</v>
      </c>
      <c r="G212" s="178">
        <v>119</v>
      </c>
      <c r="H212" s="223">
        <v>33318.714800000002</v>
      </c>
      <c r="I212" s="191" t="s">
        <v>604</v>
      </c>
      <c r="J212" s="192">
        <v>139</v>
      </c>
      <c r="K212" s="202">
        <v>241.37</v>
      </c>
      <c r="L212" s="202">
        <f>+K212*16%</f>
        <v>38.619199999999999</v>
      </c>
      <c r="M212" s="202">
        <f t="shared" ref="M212:M216" si="48">+K212+L212</f>
        <v>279.98919999999998</v>
      </c>
      <c r="N212" s="202">
        <f t="shared" si="47"/>
        <v>38918.498800000001</v>
      </c>
      <c r="O212" s="182">
        <f>6+10+4</f>
        <v>20</v>
      </c>
      <c r="P212" s="202">
        <f t="shared" si="43"/>
        <v>119</v>
      </c>
      <c r="Q212" s="182">
        <f>$P212*$M212</f>
        <v>33318.714800000002</v>
      </c>
      <c r="R212" s="167" t="s">
        <v>605</v>
      </c>
      <c r="S212" s="193"/>
    </row>
    <row r="213" spans="1:20" s="165" customFormat="1" ht="20.25" x14ac:dyDescent="0.3">
      <c r="B213" s="175">
        <v>39</v>
      </c>
      <c r="C213" s="188">
        <v>45146</v>
      </c>
      <c r="D213" s="176">
        <v>45146</v>
      </c>
      <c r="E213" s="189" t="s">
        <v>606</v>
      </c>
      <c r="F213" s="189" t="s">
        <v>607</v>
      </c>
      <c r="G213" s="178">
        <v>2</v>
      </c>
      <c r="H213" s="223">
        <v>1000</v>
      </c>
      <c r="I213" s="191" t="s">
        <v>604</v>
      </c>
      <c r="J213" s="192">
        <v>2</v>
      </c>
      <c r="K213" s="202">
        <v>500</v>
      </c>
      <c r="L213" s="202"/>
      <c r="M213" s="202">
        <f t="shared" si="48"/>
        <v>500</v>
      </c>
      <c r="N213" s="202">
        <f t="shared" si="47"/>
        <v>1000</v>
      </c>
      <c r="O213" s="182">
        <v>0</v>
      </c>
      <c r="P213" s="202">
        <f t="shared" si="43"/>
        <v>2</v>
      </c>
      <c r="Q213" s="182"/>
      <c r="R213" s="167" t="s">
        <v>593</v>
      </c>
      <c r="S213" s="193"/>
    </row>
    <row r="214" spans="1:20" s="165" customFormat="1" ht="20.25" x14ac:dyDescent="0.3">
      <c r="B214" s="175">
        <v>40</v>
      </c>
      <c r="C214" s="188">
        <v>45146</v>
      </c>
      <c r="D214" s="176">
        <v>45146</v>
      </c>
      <c r="E214" s="189" t="s">
        <v>608</v>
      </c>
      <c r="F214" s="189" t="s">
        <v>609</v>
      </c>
      <c r="G214" s="178">
        <v>6</v>
      </c>
      <c r="H214" s="223">
        <v>1217.76</v>
      </c>
      <c r="I214" s="191" t="s">
        <v>604</v>
      </c>
      <c r="J214" s="192">
        <v>6</v>
      </c>
      <c r="K214" s="202">
        <v>172</v>
      </c>
      <c r="L214" s="202">
        <f t="shared" ref="L214:L216" si="49">+K214*18%</f>
        <v>30.959999999999997</v>
      </c>
      <c r="M214" s="202">
        <f t="shared" si="48"/>
        <v>202.96</v>
      </c>
      <c r="N214" s="202">
        <f t="shared" si="47"/>
        <v>1217.76</v>
      </c>
      <c r="O214" s="182">
        <v>0</v>
      </c>
      <c r="P214" s="202">
        <f t="shared" si="43"/>
        <v>6</v>
      </c>
      <c r="Q214" s="182"/>
      <c r="R214" s="167" t="s">
        <v>593</v>
      </c>
      <c r="S214" s="193"/>
    </row>
    <row r="215" spans="1:20" s="165" customFormat="1" ht="20.25" x14ac:dyDescent="0.3">
      <c r="B215" s="175">
        <v>41</v>
      </c>
      <c r="C215" s="188">
        <v>45146</v>
      </c>
      <c r="D215" s="176">
        <v>45146</v>
      </c>
      <c r="E215" s="189" t="s">
        <v>610</v>
      </c>
      <c r="F215" s="189" t="s">
        <v>611</v>
      </c>
      <c r="G215" s="178">
        <v>6</v>
      </c>
      <c r="H215" s="223">
        <v>1217.76</v>
      </c>
      <c r="I215" s="191" t="s">
        <v>604</v>
      </c>
      <c r="J215" s="192">
        <v>6</v>
      </c>
      <c r="K215" s="202">
        <v>172</v>
      </c>
      <c r="L215" s="202">
        <f t="shared" si="49"/>
        <v>30.959999999999997</v>
      </c>
      <c r="M215" s="202">
        <f t="shared" si="48"/>
        <v>202.96</v>
      </c>
      <c r="N215" s="202">
        <f t="shared" si="47"/>
        <v>1217.76</v>
      </c>
      <c r="O215" s="182">
        <v>0</v>
      </c>
      <c r="P215" s="202">
        <f t="shared" si="43"/>
        <v>6</v>
      </c>
      <c r="Q215" s="182"/>
      <c r="R215" s="167" t="s">
        <v>593</v>
      </c>
      <c r="S215" s="193"/>
    </row>
    <row r="216" spans="1:20" s="165" customFormat="1" ht="20.25" x14ac:dyDescent="0.3">
      <c r="B216" s="175">
        <v>42</v>
      </c>
      <c r="C216" s="188">
        <v>45146</v>
      </c>
      <c r="D216" s="176">
        <v>45146</v>
      </c>
      <c r="E216" s="189" t="s">
        <v>610</v>
      </c>
      <c r="F216" s="189" t="s">
        <v>612</v>
      </c>
      <c r="G216" s="178">
        <v>6</v>
      </c>
      <c r="H216" s="223">
        <v>1309.8</v>
      </c>
      <c r="I216" s="191" t="s">
        <v>604</v>
      </c>
      <c r="J216" s="192">
        <v>6</v>
      </c>
      <c r="K216" s="202">
        <v>185</v>
      </c>
      <c r="L216" s="202">
        <f t="shared" si="49"/>
        <v>33.299999999999997</v>
      </c>
      <c r="M216" s="202">
        <f t="shared" si="48"/>
        <v>218.3</v>
      </c>
      <c r="N216" s="202">
        <f t="shared" si="47"/>
        <v>1309.8000000000002</v>
      </c>
      <c r="O216" s="182">
        <v>0</v>
      </c>
      <c r="P216" s="202">
        <f t="shared" si="43"/>
        <v>6</v>
      </c>
      <c r="Q216" s="182"/>
      <c r="R216" s="167" t="s">
        <v>593</v>
      </c>
      <c r="S216" s="193"/>
    </row>
    <row r="217" spans="1:20" s="165" customFormat="1" ht="21" thickBot="1" x14ac:dyDescent="0.35">
      <c r="B217" s="175">
        <v>43</v>
      </c>
      <c r="C217" s="188">
        <v>45146</v>
      </c>
      <c r="D217" s="176">
        <v>45146</v>
      </c>
      <c r="E217" s="189" t="s">
        <v>613</v>
      </c>
      <c r="F217" s="189" t="s">
        <v>614</v>
      </c>
      <c r="G217" s="178">
        <v>6</v>
      </c>
      <c r="H217" s="223">
        <v>920.4</v>
      </c>
      <c r="I217" s="191" t="s">
        <v>604</v>
      </c>
      <c r="J217" s="192">
        <v>6</v>
      </c>
      <c r="K217" s="182">
        <v>130</v>
      </c>
      <c r="L217" s="182">
        <f>+K217*0.18</f>
        <v>23.4</v>
      </c>
      <c r="M217" s="182">
        <f>+L217+K217</f>
        <v>153.4</v>
      </c>
      <c r="N217" s="182">
        <f>+M217*J217</f>
        <v>920.40000000000009</v>
      </c>
      <c r="O217" s="182">
        <v>0</v>
      </c>
      <c r="P217" s="202">
        <f t="shared" si="43"/>
        <v>6</v>
      </c>
      <c r="Q217" s="182">
        <f>$P217*$M217</f>
        <v>920.40000000000009</v>
      </c>
      <c r="R217" s="167" t="s">
        <v>593</v>
      </c>
      <c r="S217" s="193"/>
    </row>
    <row r="218" spans="1:20" s="165" customFormat="1" ht="21" thickBot="1" x14ac:dyDescent="0.35">
      <c r="B218" s="191"/>
      <c r="C218" s="214"/>
      <c r="D218" s="214"/>
      <c r="E218" s="214"/>
      <c r="F218" s="214"/>
      <c r="G218" s="225"/>
      <c r="H218" s="216">
        <v>125593.4402</v>
      </c>
      <c r="I218" s="191"/>
      <c r="J218" s="192"/>
      <c r="K218" s="217"/>
      <c r="L218" s="167"/>
      <c r="M218" s="167"/>
      <c r="N218" s="182"/>
      <c r="O218" s="167"/>
      <c r="P218" s="182"/>
      <c r="Q218" s="218">
        <f>SUM(Q175:Q217)</f>
        <v>118470.42019999999</v>
      </c>
      <c r="R218" s="167"/>
      <c r="S218" s="193"/>
      <c r="T218" s="219"/>
    </row>
    <row r="219" spans="1:20" ht="31.5" x14ac:dyDescent="0.5">
      <c r="A219" s="226"/>
      <c r="B219" s="220" t="s">
        <v>615</v>
      </c>
      <c r="C219" s="220"/>
      <c r="D219" s="221"/>
      <c r="E219" s="221"/>
      <c r="F219" s="221"/>
      <c r="G219" s="221"/>
      <c r="H219" s="221"/>
      <c r="I219" s="221"/>
      <c r="J219" s="221"/>
      <c r="K219" s="221"/>
      <c r="L219" s="221"/>
      <c r="M219" s="221"/>
      <c r="N219" s="221"/>
      <c r="O219" s="221"/>
      <c r="P219" s="221"/>
      <c r="Q219" s="221"/>
      <c r="R219" s="222"/>
    </row>
    <row r="220" spans="1:20" s="162" customFormat="1" ht="20.25" x14ac:dyDescent="0.3">
      <c r="B220" s="170" t="s">
        <v>213</v>
      </c>
      <c r="C220" s="171" t="s">
        <v>214</v>
      </c>
      <c r="D220" s="171" t="s">
        <v>215</v>
      </c>
      <c r="E220" s="171" t="s">
        <v>216</v>
      </c>
      <c r="F220" s="171" t="s">
        <v>217</v>
      </c>
      <c r="G220" s="171" t="s">
        <v>218</v>
      </c>
      <c r="H220" s="171" t="s">
        <v>219</v>
      </c>
      <c r="I220" s="171" t="s">
        <v>220</v>
      </c>
      <c r="J220" s="173" t="s">
        <v>221</v>
      </c>
      <c r="K220" s="173" t="s">
        <v>222</v>
      </c>
      <c r="L220" s="173" t="s">
        <v>223</v>
      </c>
      <c r="M220" s="173" t="s">
        <v>224</v>
      </c>
      <c r="N220" s="173" t="s">
        <v>225</v>
      </c>
      <c r="O220" s="173" t="s">
        <v>226</v>
      </c>
      <c r="P220" s="173" t="s">
        <v>218</v>
      </c>
      <c r="Q220" s="173" t="s">
        <v>219</v>
      </c>
      <c r="R220" s="173" t="s">
        <v>227</v>
      </c>
    </row>
    <row r="221" spans="1:20" s="212" customFormat="1" ht="20.25" x14ac:dyDescent="0.3">
      <c r="B221" s="208">
        <v>1</v>
      </c>
      <c r="C221" s="206">
        <v>44180</v>
      </c>
      <c r="D221" s="206">
        <v>44180</v>
      </c>
      <c r="E221" s="207" t="s">
        <v>616</v>
      </c>
      <c r="F221" s="207" t="s">
        <v>617</v>
      </c>
      <c r="G221" s="227">
        <v>7</v>
      </c>
      <c r="H221" s="223">
        <v>908.6</v>
      </c>
      <c r="I221" s="208" t="s">
        <v>230</v>
      </c>
      <c r="J221" s="209">
        <f>15+25</f>
        <v>40</v>
      </c>
      <c r="K221" s="202">
        <v>110</v>
      </c>
      <c r="L221" s="202">
        <f t="shared" ref="L221:L235" si="50">+K221*18%</f>
        <v>19.8</v>
      </c>
      <c r="M221" s="202">
        <f t="shared" ref="M221" si="51">+K221+L221</f>
        <v>129.80000000000001</v>
      </c>
      <c r="N221" s="202">
        <f t="shared" ref="N221:N256" si="52">$J221*$M221</f>
        <v>5192</v>
      </c>
      <c r="O221" s="202">
        <f>2+6+25</f>
        <v>33</v>
      </c>
      <c r="P221" s="202">
        <f t="shared" ref="P221:P256" si="53">$J221-$O221</f>
        <v>7</v>
      </c>
      <c r="Q221" s="202">
        <f t="shared" ref="Q221:Q256" si="54">$P221*$M221</f>
        <v>908.60000000000014</v>
      </c>
      <c r="R221" s="210" t="s">
        <v>618</v>
      </c>
      <c r="S221" s="211"/>
      <c r="T221" s="213"/>
    </row>
    <row r="222" spans="1:20" s="212" customFormat="1" ht="20.25" x14ac:dyDescent="0.3">
      <c r="B222" s="208">
        <v>2</v>
      </c>
      <c r="C222" s="176">
        <v>45099</v>
      </c>
      <c r="D222" s="206">
        <v>45099</v>
      </c>
      <c r="E222" s="207" t="s">
        <v>619</v>
      </c>
      <c r="F222" s="207" t="s">
        <v>620</v>
      </c>
      <c r="G222" s="227">
        <v>40</v>
      </c>
      <c r="H222" s="223">
        <v>825.05600000000004</v>
      </c>
      <c r="I222" s="228" t="s">
        <v>230</v>
      </c>
      <c r="J222" s="209">
        <v>60</v>
      </c>
      <c r="K222" s="202">
        <v>17.48</v>
      </c>
      <c r="L222" s="202">
        <f t="shared" si="50"/>
        <v>3.1463999999999999</v>
      </c>
      <c r="M222" s="202">
        <f>+L222+K222</f>
        <v>20.6264</v>
      </c>
      <c r="N222" s="202">
        <f t="shared" si="52"/>
        <v>1237.5840000000001</v>
      </c>
      <c r="O222" s="202">
        <v>20</v>
      </c>
      <c r="P222" s="202">
        <f t="shared" si="53"/>
        <v>40</v>
      </c>
      <c r="Q222" s="182">
        <f t="shared" si="54"/>
        <v>825.05600000000004</v>
      </c>
      <c r="R222" s="183" t="s">
        <v>621</v>
      </c>
      <c r="S222" s="211"/>
    </row>
    <row r="223" spans="1:20" s="212" customFormat="1" ht="20.25" x14ac:dyDescent="0.3">
      <c r="B223" s="208">
        <v>3</v>
      </c>
      <c r="C223" s="206" t="s">
        <v>398</v>
      </c>
      <c r="D223" s="206">
        <v>44180</v>
      </c>
      <c r="E223" s="207" t="s">
        <v>622</v>
      </c>
      <c r="F223" s="207" t="s">
        <v>623</v>
      </c>
      <c r="G223" s="227">
        <v>0.5</v>
      </c>
      <c r="H223" s="223">
        <v>351.05</v>
      </c>
      <c r="I223" s="208" t="s">
        <v>624</v>
      </c>
      <c r="J223" s="209">
        <v>2</v>
      </c>
      <c r="K223" s="202">
        <v>595</v>
      </c>
      <c r="L223" s="202">
        <f t="shared" si="50"/>
        <v>107.1</v>
      </c>
      <c r="M223" s="202">
        <f t="shared" ref="M223:M238" si="55">+K223+L223</f>
        <v>702.1</v>
      </c>
      <c r="N223" s="202">
        <f t="shared" si="52"/>
        <v>1404.2</v>
      </c>
      <c r="O223" s="202">
        <f>1+0.5</f>
        <v>1.5</v>
      </c>
      <c r="P223" s="202">
        <f t="shared" si="53"/>
        <v>0.5</v>
      </c>
      <c r="Q223" s="202">
        <f t="shared" si="54"/>
        <v>351.05</v>
      </c>
      <c r="R223" s="210" t="s">
        <v>531</v>
      </c>
      <c r="S223" s="211"/>
    </row>
    <row r="224" spans="1:20" s="185" customFormat="1" ht="20.25" x14ac:dyDescent="0.3">
      <c r="B224" s="208">
        <v>4</v>
      </c>
      <c r="C224" s="176">
        <v>44014</v>
      </c>
      <c r="D224" s="206">
        <v>44014</v>
      </c>
      <c r="E224" s="177" t="s">
        <v>625</v>
      </c>
      <c r="F224" s="177" t="s">
        <v>626</v>
      </c>
      <c r="G224" s="227">
        <v>5</v>
      </c>
      <c r="H224" s="223">
        <v>3245</v>
      </c>
      <c r="I224" s="175" t="s">
        <v>230</v>
      </c>
      <c r="J224" s="180">
        <v>5</v>
      </c>
      <c r="K224" s="181">
        <v>550</v>
      </c>
      <c r="L224" s="202">
        <f t="shared" si="50"/>
        <v>99</v>
      </c>
      <c r="M224" s="181">
        <f t="shared" si="55"/>
        <v>649</v>
      </c>
      <c r="N224" s="182">
        <f t="shared" si="52"/>
        <v>3245</v>
      </c>
      <c r="O224" s="182">
        <v>0</v>
      </c>
      <c r="P224" s="181">
        <f t="shared" si="53"/>
        <v>5</v>
      </c>
      <c r="Q224" s="181">
        <f t="shared" si="54"/>
        <v>3245</v>
      </c>
      <c r="R224" s="183" t="s">
        <v>627</v>
      </c>
      <c r="S224" s="184">
        <f>Q224/P224</f>
        <v>649</v>
      </c>
    </row>
    <row r="225" spans="2:20" s="185" customFormat="1" ht="20.25" x14ac:dyDescent="0.3">
      <c r="B225" s="208">
        <v>5</v>
      </c>
      <c r="C225" s="176">
        <v>44018</v>
      </c>
      <c r="D225" s="206">
        <v>44018</v>
      </c>
      <c r="E225" s="177" t="s">
        <v>628</v>
      </c>
      <c r="F225" s="177" t="s">
        <v>629</v>
      </c>
      <c r="G225" s="227">
        <v>4</v>
      </c>
      <c r="H225" s="223">
        <v>401.2</v>
      </c>
      <c r="I225" s="175" t="s">
        <v>230</v>
      </c>
      <c r="J225" s="180">
        <v>6</v>
      </c>
      <c r="K225" s="181">
        <v>85</v>
      </c>
      <c r="L225" s="202">
        <f t="shared" si="50"/>
        <v>15.299999999999999</v>
      </c>
      <c r="M225" s="181">
        <f t="shared" si="55"/>
        <v>100.3</v>
      </c>
      <c r="N225" s="182">
        <f t="shared" si="52"/>
        <v>601.79999999999995</v>
      </c>
      <c r="O225" s="182">
        <v>2</v>
      </c>
      <c r="P225" s="181">
        <f t="shared" si="53"/>
        <v>4</v>
      </c>
      <c r="Q225" s="181">
        <f t="shared" si="54"/>
        <v>401.2</v>
      </c>
      <c r="R225" s="183" t="s">
        <v>630</v>
      </c>
      <c r="S225" s="184">
        <f>Q225/P225</f>
        <v>100.3</v>
      </c>
    </row>
    <row r="226" spans="2:20" s="185" customFormat="1" ht="20.25" x14ac:dyDescent="0.3">
      <c r="B226" s="208">
        <v>6</v>
      </c>
      <c r="C226" s="176">
        <v>44019</v>
      </c>
      <c r="D226" s="206">
        <v>44019</v>
      </c>
      <c r="E226" s="177" t="s">
        <v>631</v>
      </c>
      <c r="F226" s="177" t="s">
        <v>632</v>
      </c>
      <c r="G226" s="227">
        <v>9</v>
      </c>
      <c r="H226" s="223">
        <v>1752.3</v>
      </c>
      <c r="I226" s="175" t="s">
        <v>633</v>
      </c>
      <c r="J226" s="180">
        <f>5+5</f>
        <v>10</v>
      </c>
      <c r="K226" s="181">
        <v>165</v>
      </c>
      <c r="L226" s="202">
        <f t="shared" si="50"/>
        <v>29.7</v>
      </c>
      <c r="M226" s="181">
        <f t="shared" si="55"/>
        <v>194.7</v>
      </c>
      <c r="N226" s="182">
        <f t="shared" si="52"/>
        <v>1947</v>
      </c>
      <c r="O226" s="182">
        <v>1</v>
      </c>
      <c r="P226" s="181">
        <f t="shared" si="53"/>
        <v>9</v>
      </c>
      <c r="Q226" s="181">
        <f t="shared" si="54"/>
        <v>1752.3</v>
      </c>
      <c r="R226" s="183" t="s">
        <v>634</v>
      </c>
      <c r="S226" s="184">
        <f>Q226/P226</f>
        <v>194.7</v>
      </c>
      <c r="T226" s="194"/>
    </row>
    <row r="227" spans="2:20" s="185" customFormat="1" ht="20.25" x14ac:dyDescent="0.3">
      <c r="B227" s="208">
        <v>7</v>
      </c>
      <c r="C227" s="176" t="s">
        <v>398</v>
      </c>
      <c r="D227" s="206">
        <v>44180</v>
      </c>
      <c r="E227" s="177" t="s">
        <v>635</v>
      </c>
      <c r="F227" s="177" t="s">
        <v>636</v>
      </c>
      <c r="G227" s="227">
        <v>7</v>
      </c>
      <c r="H227" s="223">
        <v>1610.7</v>
      </c>
      <c r="I227" s="175" t="s">
        <v>230</v>
      </c>
      <c r="J227" s="180">
        <v>7</v>
      </c>
      <c r="K227" s="181">
        <v>195</v>
      </c>
      <c r="L227" s="202">
        <f t="shared" si="50"/>
        <v>35.1</v>
      </c>
      <c r="M227" s="181">
        <f t="shared" si="55"/>
        <v>230.1</v>
      </c>
      <c r="N227" s="182">
        <f t="shared" si="52"/>
        <v>1610.7</v>
      </c>
      <c r="O227" s="182"/>
      <c r="P227" s="181">
        <f t="shared" si="53"/>
        <v>7</v>
      </c>
      <c r="Q227" s="181">
        <f t="shared" si="54"/>
        <v>1610.7</v>
      </c>
      <c r="R227" s="183" t="s">
        <v>531</v>
      </c>
      <c r="S227" s="184"/>
      <c r="T227" s="194"/>
    </row>
    <row r="228" spans="2:20" s="185" customFormat="1" ht="20.25" x14ac:dyDescent="0.3">
      <c r="B228" s="208">
        <v>8</v>
      </c>
      <c r="C228" s="176">
        <v>45099</v>
      </c>
      <c r="D228" s="206">
        <v>45099</v>
      </c>
      <c r="E228" s="177" t="s">
        <v>637</v>
      </c>
      <c r="F228" s="177" t="s">
        <v>638</v>
      </c>
      <c r="G228" s="227">
        <v>7</v>
      </c>
      <c r="H228" s="223">
        <v>1027.2136</v>
      </c>
      <c r="I228" s="175" t="s">
        <v>639</v>
      </c>
      <c r="J228" s="180">
        <v>8</v>
      </c>
      <c r="K228" s="181">
        <v>124.36</v>
      </c>
      <c r="L228" s="202">
        <f t="shared" si="50"/>
        <v>22.384799999999998</v>
      </c>
      <c r="M228" s="181">
        <f t="shared" si="55"/>
        <v>146.7448</v>
      </c>
      <c r="N228" s="182">
        <f t="shared" si="52"/>
        <v>1173.9584</v>
      </c>
      <c r="O228" s="182">
        <v>1</v>
      </c>
      <c r="P228" s="181">
        <f t="shared" si="53"/>
        <v>7</v>
      </c>
      <c r="Q228" s="181">
        <f t="shared" si="54"/>
        <v>1027.2136</v>
      </c>
      <c r="R228" s="183" t="s">
        <v>621</v>
      </c>
      <c r="S228" s="184"/>
    </row>
    <row r="229" spans="2:20" s="185" customFormat="1" ht="20.25" x14ac:dyDescent="0.3">
      <c r="B229" s="208">
        <v>9</v>
      </c>
      <c r="C229" s="176" t="s">
        <v>398</v>
      </c>
      <c r="D229" s="206">
        <v>44180</v>
      </c>
      <c r="E229" s="177" t="s">
        <v>640</v>
      </c>
      <c r="F229" s="177" t="s">
        <v>638</v>
      </c>
      <c r="G229" s="227">
        <v>6</v>
      </c>
      <c r="H229" s="223">
        <v>1267.32</v>
      </c>
      <c r="I229" s="175" t="s">
        <v>639</v>
      </c>
      <c r="J229" s="180">
        <f>3+8</f>
        <v>11</v>
      </c>
      <c r="K229" s="181">
        <v>179</v>
      </c>
      <c r="L229" s="202">
        <f t="shared" si="50"/>
        <v>32.22</v>
      </c>
      <c r="M229" s="181">
        <f t="shared" si="55"/>
        <v>211.22</v>
      </c>
      <c r="N229" s="182">
        <f t="shared" si="52"/>
        <v>2323.42</v>
      </c>
      <c r="O229" s="182">
        <f>1+1+1+1+1</f>
        <v>5</v>
      </c>
      <c r="P229" s="181">
        <f t="shared" si="53"/>
        <v>6</v>
      </c>
      <c r="Q229" s="181">
        <f t="shared" si="54"/>
        <v>1267.32</v>
      </c>
      <c r="R229" s="183" t="s">
        <v>634</v>
      </c>
      <c r="S229" s="184"/>
    </row>
    <row r="230" spans="2:20" s="205" customFormat="1" ht="20.25" x14ac:dyDescent="0.3">
      <c r="B230" s="208">
        <v>10</v>
      </c>
      <c r="C230" s="197" t="s">
        <v>398</v>
      </c>
      <c r="D230" s="206">
        <v>44180</v>
      </c>
      <c r="E230" s="198" t="s">
        <v>641</v>
      </c>
      <c r="F230" s="198" t="s">
        <v>642</v>
      </c>
      <c r="G230" s="227">
        <v>4</v>
      </c>
      <c r="H230" s="223">
        <v>2100.4</v>
      </c>
      <c r="I230" s="199" t="s">
        <v>639</v>
      </c>
      <c r="J230" s="200">
        <v>4</v>
      </c>
      <c r="K230" s="201">
        <v>445</v>
      </c>
      <c r="L230" s="202">
        <f t="shared" si="50"/>
        <v>80.099999999999994</v>
      </c>
      <c r="M230" s="201">
        <f t="shared" si="55"/>
        <v>525.1</v>
      </c>
      <c r="N230" s="202">
        <f t="shared" si="52"/>
        <v>2100.4</v>
      </c>
      <c r="O230" s="202">
        <v>0</v>
      </c>
      <c r="P230" s="201">
        <f t="shared" si="53"/>
        <v>4</v>
      </c>
      <c r="Q230" s="201">
        <f t="shared" si="54"/>
        <v>2100.4</v>
      </c>
      <c r="R230" s="203" t="s">
        <v>531</v>
      </c>
      <c r="S230" s="204"/>
    </row>
    <row r="231" spans="2:20" s="205" customFormat="1" ht="20.25" x14ac:dyDescent="0.3">
      <c r="B231" s="208">
        <v>11</v>
      </c>
      <c r="C231" s="197">
        <v>45099</v>
      </c>
      <c r="D231" s="206">
        <v>45099</v>
      </c>
      <c r="E231" s="198" t="s">
        <v>643</v>
      </c>
      <c r="F231" s="198" t="s">
        <v>644</v>
      </c>
      <c r="G231" s="227">
        <v>3</v>
      </c>
      <c r="H231" s="223">
        <v>4182.51</v>
      </c>
      <c r="I231" s="199" t="s">
        <v>624</v>
      </c>
      <c r="J231" s="200">
        <v>5</v>
      </c>
      <c r="K231" s="201">
        <v>1181.5</v>
      </c>
      <c r="L231" s="201">
        <f t="shared" si="50"/>
        <v>212.67</v>
      </c>
      <c r="M231" s="201">
        <f t="shared" si="55"/>
        <v>1394.17</v>
      </c>
      <c r="N231" s="202">
        <f t="shared" si="52"/>
        <v>6970.85</v>
      </c>
      <c r="O231" s="202">
        <f>1+1</f>
        <v>2</v>
      </c>
      <c r="P231" s="201">
        <f t="shared" si="53"/>
        <v>3</v>
      </c>
      <c r="Q231" s="201">
        <f t="shared" si="54"/>
        <v>4182.51</v>
      </c>
      <c r="R231" s="203" t="s">
        <v>621</v>
      </c>
      <c r="S231" s="204"/>
    </row>
    <row r="232" spans="2:20" s="205" customFormat="1" ht="20.25" x14ac:dyDescent="0.3">
      <c r="B232" s="208">
        <v>12</v>
      </c>
      <c r="C232" s="197" t="s">
        <v>398</v>
      </c>
      <c r="D232" s="206">
        <v>44180</v>
      </c>
      <c r="E232" s="198" t="s">
        <v>645</v>
      </c>
      <c r="F232" s="198" t="s">
        <v>646</v>
      </c>
      <c r="G232" s="227">
        <v>15</v>
      </c>
      <c r="H232" s="223">
        <v>11682</v>
      </c>
      <c r="I232" s="199" t="s">
        <v>624</v>
      </c>
      <c r="J232" s="200">
        <v>15</v>
      </c>
      <c r="K232" s="201">
        <v>660</v>
      </c>
      <c r="L232" s="201">
        <f t="shared" si="50"/>
        <v>118.8</v>
      </c>
      <c r="M232" s="201">
        <f t="shared" si="55"/>
        <v>778.8</v>
      </c>
      <c r="N232" s="202">
        <f t="shared" si="52"/>
        <v>11682</v>
      </c>
      <c r="O232" s="202"/>
      <c r="P232" s="201">
        <f t="shared" si="53"/>
        <v>15</v>
      </c>
      <c r="Q232" s="201">
        <f t="shared" si="54"/>
        <v>11682</v>
      </c>
      <c r="R232" s="203" t="s">
        <v>647</v>
      </c>
      <c r="S232" s="204"/>
    </row>
    <row r="233" spans="2:20" s="205" customFormat="1" ht="20.25" x14ac:dyDescent="0.3">
      <c r="B233" s="208">
        <v>13</v>
      </c>
      <c r="C233" s="197">
        <v>45099</v>
      </c>
      <c r="D233" s="206">
        <v>45099</v>
      </c>
      <c r="E233" s="198" t="s">
        <v>648</v>
      </c>
      <c r="F233" s="198" t="s">
        <v>649</v>
      </c>
      <c r="G233" s="227">
        <v>9</v>
      </c>
      <c r="H233" s="223">
        <v>7561.44</v>
      </c>
      <c r="I233" s="199" t="s">
        <v>624</v>
      </c>
      <c r="J233" s="200">
        <v>20</v>
      </c>
      <c r="K233" s="201">
        <v>712</v>
      </c>
      <c r="L233" s="201">
        <f t="shared" si="50"/>
        <v>128.16</v>
      </c>
      <c r="M233" s="201">
        <f t="shared" si="55"/>
        <v>840.16</v>
      </c>
      <c r="N233" s="202">
        <f t="shared" si="52"/>
        <v>16803.2</v>
      </c>
      <c r="O233" s="202">
        <f>4+3+2+2</f>
        <v>11</v>
      </c>
      <c r="P233" s="201">
        <f t="shared" si="53"/>
        <v>9</v>
      </c>
      <c r="Q233" s="201">
        <f t="shared" si="54"/>
        <v>7561.44</v>
      </c>
      <c r="R233" s="203" t="s">
        <v>621</v>
      </c>
      <c r="S233" s="204"/>
    </row>
    <row r="234" spans="2:20" s="205" customFormat="1" ht="20.25" x14ac:dyDescent="0.3">
      <c r="B234" s="208">
        <v>14</v>
      </c>
      <c r="C234" s="197">
        <v>45099</v>
      </c>
      <c r="D234" s="206">
        <v>45099</v>
      </c>
      <c r="E234" s="198" t="s">
        <v>650</v>
      </c>
      <c r="F234" s="198" t="s">
        <v>651</v>
      </c>
      <c r="G234" s="227">
        <v>4</v>
      </c>
      <c r="H234" s="223">
        <v>14160</v>
      </c>
      <c r="I234" s="199" t="s">
        <v>624</v>
      </c>
      <c r="J234" s="200">
        <v>15</v>
      </c>
      <c r="K234" s="201">
        <v>3000</v>
      </c>
      <c r="L234" s="201">
        <f t="shared" si="50"/>
        <v>540</v>
      </c>
      <c r="M234" s="201">
        <f t="shared" si="55"/>
        <v>3540</v>
      </c>
      <c r="N234" s="202">
        <f t="shared" si="52"/>
        <v>53100</v>
      </c>
      <c r="O234" s="202">
        <v>11</v>
      </c>
      <c r="P234" s="201">
        <f t="shared" si="53"/>
        <v>4</v>
      </c>
      <c r="Q234" s="201">
        <f t="shared" si="54"/>
        <v>14160</v>
      </c>
      <c r="R234" s="203" t="s">
        <v>647</v>
      </c>
      <c r="S234" s="204"/>
    </row>
    <row r="235" spans="2:20" s="212" customFormat="1" ht="20.25" x14ac:dyDescent="0.3">
      <c r="B235" s="208">
        <v>15</v>
      </c>
      <c r="C235" s="206">
        <v>43252</v>
      </c>
      <c r="D235" s="206">
        <v>43252</v>
      </c>
      <c r="E235" s="207" t="s">
        <v>652</v>
      </c>
      <c r="F235" s="207" t="s">
        <v>653</v>
      </c>
      <c r="G235" s="227">
        <v>285</v>
      </c>
      <c r="H235" s="223">
        <v>4703.4799999999996</v>
      </c>
      <c r="I235" s="228" t="s">
        <v>654</v>
      </c>
      <c r="J235" s="209">
        <v>285</v>
      </c>
      <c r="K235" s="202">
        <f>3986/285</f>
        <v>13.985964912280702</v>
      </c>
      <c r="L235" s="202">
        <f t="shared" si="50"/>
        <v>2.5174736842105263</v>
      </c>
      <c r="M235" s="202">
        <f t="shared" si="55"/>
        <v>16.503438596491229</v>
      </c>
      <c r="N235" s="202">
        <f t="shared" si="52"/>
        <v>4703.4800000000005</v>
      </c>
      <c r="O235" s="202">
        <v>0</v>
      </c>
      <c r="P235" s="202">
        <f t="shared" si="53"/>
        <v>285</v>
      </c>
      <c r="Q235" s="202">
        <f t="shared" si="54"/>
        <v>4703.4800000000005</v>
      </c>
      <c r="R235" s="210"/>
      <c r="S235" s="211">
        <f>Q235/P235</f>
        <v>16.503438596491229</v>
      </c>
    </row>
    <row r="236" spans="2:20" s="205" customFormat="1" ht="20.25" x14ac:dyDescent="0.3">
      <c r="B236" s="208">
        <v>16</v>
      </c>
      <c r="C236" s="197" t="s">
        <v>398</v>
      </c>
      <c r="D236" s="206">
        <v>44180</v>
      </c>
      <c r="E236" s="198" t="s">
        <v>655</v>
      </c>
      <c r="F236" s="198" t="s">
        <v>656</v>
      </c>
      <c r="G236" s="227">
        <v>3</v>
      </c>
      <c r="H236" s="223">
        <v>495</v>
      </c>
      <c r="I236" s="229" t="s">
        <v>230</v>
      </c>
      <c r="J236" s="200">
        <v>5</v>
      </c>
      <c r="K236" s="201">
        <v>165</v>
      </c>
      <c r="L236" s="201">
        <f>+K236*0%</f>
        <v>0</v>
      </c>
      <c r="M236" s="201">
        <f t="shared" si="55"/>
        <v>165</v>
      </c>
      <c r="N236" s="202">
        <f t="shared" si="52"/>
        <v>825</v>
      </c>
      <c r="O236" s="202">
        <v>2</v>
      </c>
      <c r="P236" s="201">
        <f t="shared" si="53"/>
        <v>3</v>
      </c>
      <c r="Q236" s="201">
        <f t="shared" si="54"/>
        <v>495</v>
      </c>
      <c r="R236" s="210" t="s">
        <v>657</v>
      </c>
      <c r="S236" s="204">
        <f>Q236/P236</f>
        <v>165</v>
      </c>
    </row>
    <row r="237" spans="2:20" s="205" customFormat="1" ht="20.25" x14ac:dyDescent="0.3">
      <c r="B237" s="208">
        <v>17</v>
      </c>
      <c r="C237" s="197" t="s">
        <v>398</v>
      </c>
      <c r="D237" s="206">
        <v>44180</v>
      </c>
      <c r="E237" s="198" t="s">
        <v>658</v>
      </c>
      <c r="F237" s="198" t="s">
        <v>659</v>
      </c>
      <c r="G237" s="227">
        <v>2</v>
      </c>
      <c r="H237" s="223">
        <v>390</v>
      </c>
      <c r="I237" s="229" t="s">
        <v>230</v>
      </c>
      <c r="J237" s="200">
        <v>5</v>
      </c>
      <c r="K237" s="201">
        <v>195</v>
      </c>
      <c r="L237" s="201">
        <f>+K237*0%</f>
        <v>0</v>
      </c>
      <c r="M237" s="201">
        <f t="shared" si="55"/>
        <v>195</v>
      </c>
      <c r="N237" s="202">
        <f t="shared" si="52"/>
        <v>975</v>
      </c>
      <c r="O237" s="202">
        <v>3</v>
      </c>
      <c r="P237" s="201">
        <f t="shared" si="53"/>
        <v>2</v>
      </c>
      <c r="Q237" s="201">
        <f t="shared" si="54"/>
        <v>390</v>
      </c>
      <c r="R237" s="210" t="s">
        <v>657</v>
      </c>
      <c r="S237" s="204">
        <f>Q237/P237</f>
        <v>195</v>
      </c>
    </row>
    <row r="238" spans="2:20" s="212" customFormat="1" ht="20.25" x14ac:dyDescent="0.3">
      <c r="B238" s="208">
        <v>18</v>
      </c>
      <c r="C238" s="206">
        <v>45005</v>
      </c>
      <c r="D238" s="206">
        <v>45005</v>
      </c>
      <c r="E238" s="207" t="s">
        <v>660</v>
      </c>
      <c r="F238" s="207" t="s">
        <v>661</v>
      </c>
      <c r="G238" s="227">
        <v>10</v>
      </c>
      <c r="H238" s="223">
        <v>4750</v>
      </c>
      <c r="I238" s="228" t="s">
        <v>230</v>
      </c>
      <c r="J238" s="209">
        <v>15</v>
      </c>
      <c r="K238" s="202">
        <v>475</v>
      </c>
      <c r="L238" s="202">
        <v>0</v>
      </c>
      <c r="M238" s="202">
        <f t="shared" si="55"/>
        <v>475</v>
      </c>
      <c r="N238" s="202">
        <f t="shared" si="52"/>
        <v>7125</v>
      </c>
      <c r="O238" s="202">
        <v>5</v>
      </c>
      <c r="P238" s="202">
        <f t="shared" si="53"/>
        <v>10</v>
      </c>
      <c r="Q238" s="202">
        <f t="shared" si="54"/>
        <v>4750</v>
      </c>
      <c r="R238" s="210" t="s">
        <v>662</v>
      </c>
      <c r="S238" s="211"/>
    </row>
    <row r="239" spans="2:20" s="212" customFormat="1" ht="20.25" x14ac:dyDescent="0.3">
      <c r="B239" s="208">
        <v>19</v>
      </c>
      <c r="C239" s="206">
        <v>45005</v>
      </c>
      <c r="D239" s="206">
        <v>45005</v>
      </c>
      <c r="E239" s="207" t="s">
        <v>660</v>
      </c>
      <c r="F239" s="207" t="s">
        <v>663</v>
      </c>
      <c r="G239" s="227">
        <v>3</v>
      </c>
      <c r="H239" s="223">
        <v>1097.4000000000001</v>
      </c>
      <c r="I239" s="228" t="s">
        <v>230</v>
      </c>
      <c r="J239" s="209">
        <v>6</v>
      </c>
      <c r="K239" s="202">
        <f>+M239/1.18</f>
        <v>310</v>
      </c>
      <c r="L239" s="201">
        <f>+K239*18%</f>
        <v>55.8</v>
      </c>
      <c r="M239" s="202">
        <v>365.8</v>
      </c>
      <c r="N239" s="202">
        <f t="shared" si="52"/>
        <v>2194.8000000000002</v>
      </c>
      <c r="O239" s="202">
        <f>2+1</f>
        <v>3</v>
      </c>
      <c r="P239" s="202">
        <f t="shared" si="53"/>
        <v>3</v>
      </c>
      <c r="Q239" s="202">
        <f t="shared" si="54"/>
        <v>1097.4000000000001</v>
      </c>
      <c r="R239" s="210" t="s">
        <v>662</v>
      </c>
      <c r="S239" s="211"/>
    </row>
    <row r="240" spans="2:20" s="212" customFormat="1" ht="20.25" x14ac:dyDescent="0.3">
      <c r="B240" s="208">
        <v>20</v>
      </c>
      <c r="C240" s="206">
        <v>45005</v>
      </c>
      <c r="D240" s="206">
        <v>45005</v>
      </c>
      <c r="E240" s="207" t="s">
        <v>664</v>
      </c>
      <c r="F240" s="207" t="s">
        <v>665</v>
      </c>
      <c r="G240" s="227">
        <v>4</v>
      </c>
      <c r="H240" s="223">
        <v>740</v>
      </c>
      <c r="I240" s="228" t="s">
        <v>230</v>
      </c>
      <c r="J240" s="209">
        <v>6</v>
      </c>
      <c r="K240" s="202">
        <v>185</v>
      </c>
      <c r="L240" s="201">
        <f>+K240*0%</f>
        <v>0</v>
      </c>
      <c r="M240" s="202">
        <f>+K240+L240</f>
        <v>185</v>
      </c>
      <c r="N240" s="202">
        <f t="shared" si="52"/>
        <v>1110</v>
      </c>
      <c r="O240" s="202">
        <f>1+1</f>
        <v>2</v>
      </c>
      <c r="P240" s="202">
        <f t="shared" si="53"/>
        <v>4</v>
      </c>
      <c r="Q240" s="202">
        <f t="shared" si="54"/>
        <v>740</v>
      </c>
      <c r="R240" s="210" t="s">
        <v>657</v>
      </c>
      <c r="S240" s="211"/>
    </row>
    <row r="241" spans="2:19" s="212" customFormat="1" ht="20.25" x14ac:dyDescent="0.3">
      <c r="B241" s="208">
        <v>21</v>
      </c>
      <c r="C241" s="206">
        <v>45005</v>
      </c>
      <c r="D241" s="206">
        <v>45005</v>
      </c>
      <c r="E241" s="207" t="s">
        <v>666</v>
      </c>
      <c r="F241" s="207" t="s">
        <v>667</v>
      </c>
      <c r="G241" s="227">
        <v>2</v>
      </c>
      <c r="H241" s="223">
        <v>1003</v>
      </c>
      <c r="I241" s="228" t="s">
        <v>230</v>
      </c>
      <c r="J241" s="209">
        <v>8</v>
      </c>
      <c r="K241" s="202">
        <f>+M241/1.18</f>
        <v>425</v>
      </c>
      <c r="L241" s="201">
        <f>+K241*18%</f>
        <v>76.5</v>
      </c>
      <c r="M241" s="202">
        <v>501.5</v>
      </c>
      <c r="N241" s="202">
        <f t="shared" si="52"/>
        <v>4012</v>
      </c>
      <c r="O241" s="202">
        <f>1+3+2</f>
        <v>6</v>
      </c>
      <c r="P241" s="202">
        <f t="shared" si="53"/>
        <v>2</v>
      </c>
      <c r="Q241" s="202">
        <f t="shared" si="54"/>
        <v>1003</v>
      </c>
      <c r="R241" s="210" t="s">
        <v>662</v>
      </c>
      <c r="S241" s="211"/>
    </row>
    <row r="242" spans="2:19" s="212" customFormat="1" ht="20.25" x14ac:dyDescent="0.3">
      <c r="B242" s="208">
        <v>22</v>
      </c>
      <c r="C242" s="206">
        <v>45005</v>
      </c>
      <c r="D242" s="206">
        <v>45005</v>
      </c>
      <c r="E242" s="207" t="s">
        <v>668</v>
      </c>
      <c r="F242" s="207" t="s">
        <v>667</v>
      </c>
      <c r="G242" s="227">
        <v>1</v>
      </c>
      <c r="H242" s="223">
        <v>205</v>
      </c>
      <c r="I242" s="228" t="s">
        <v>230</v>
      </c>
      <c r="J242" s="209">
        <v>6</v>
      </c>
      <c r="K242" s="202">
        <v>205</v>
      </c>
      <c r="L242" s="201">
        <f>+K242*0%</f>
        <v>0</v>
      </c>
      <c r="M242" s="202">
        <f>+K242+L242</f>
        <v>205</v>
      </c>
      <c r="N242" s="202">
        <f t="shared" si="52"/>
        <v>1230</v>
      </c>
      <c r="O242" s="202">
        <f>3+2</f>
        <v>5</v>
      </c>
      <c r="P242" s="202">
        <f t="shared" si="53"/>
        <v>1</v>
      </c>
      <c r="Q242" s="202">
        <f t="shared" si="54"/>
        <v>205</v>
      </c>
      <c r="R242" s="210" t="s">
        <v>657</v>
      </c>
      <c r="S242" s="211"/>
    </row>
    <row r="243" spans="2:19" s="212" customFormat="1" ht="20.25" x14ac:dyDescent="0.3">
      <c r="B243" s="208">
        <v>23</v>
      </c>
      <c r="C243" s="206">
        <v>45005</v>
      </c>
      <c r="D243" s="206">
        <v>45005</v>
      </c>
      <c r="E243" s="207" t="s">
        <v>669</v>
      </c>
      <c r="F243" s="207" t="s">
        <v>670</v>
      </c>
      <c r="G243" s="227">
        <v>15</v>
      </c>
      <c r="H243" s="223">
        <v>1911.6</v>
      </c>
      <c r="I243" s="228" t="s">
        <v>230</v>
      </c>
      <c r="J243" s="209">
        <v>40</v>
      </c>
      <c r="K243" s="202">
        <f>+M243/1.18</f>
        <v>108</v>
      </c>
      <c r="L243" s="202">
        <v>19.440000000000001</v>
      </c>
      <c r="M243" s="202">
        <v>127.44</v>
      </c>
      <c r="N243" s="202">
        <f t="shared" si="52"/>
        <v>5097.6000000000004</v>
      </c>
      <c r="O243" s="202">
        <f>6+11+3+5</f>
        <v>25</v>
      </c>
      <c r="P243" s="202">
        <f t="shared" si="53"/>
        <v>15</v>
      </c>
      <c r="Q243" s="202">
        <f t="shared" si="54"/>
        <v>1911.6</v>
      </c>
      <c r="R243" s="210" t="s">
        <v>662</v>
      </c>
      <c r="S243" s="211"/>
    </row>
    <row r="244" spans="2:19" s="212" customFormat="1" ht="20.25" x14ac:dyDescent="0.3">
      <c r="B244" s="208">
        <v>24</v>
      </c>
      <c r="C244" s="206">
        <v>45005</v>
      </c>
      <c r="D244" s="206">
        <v>45005</v>
      </c>
      <c r="E244" s="207" t="s">
        <v>671</v>
      </c>
      <c r="F244" s="207" t="s">
        <v>670</v>
      </c>
      <c r="G244" s="227">
        <v>31</v>
      </c>
      <c r="H244" s="223">
        <v>7750</v>
      </c>
      <c r="I244" s="228" t="s">
        <v>230</v>
      </c>
      <c r="J244" s="209">
        <v>40</v>
      </c>
      <c r="K244" s="202">
        <v>250</v>
      </c>
      <c r="L244" s="201">
        <f>+K244*0%</f>
        <v>0</v>
      </c>
      <c r="M244" s="202">
        <f>+K244+L244</f>
        <v>250</v>
      </c>
      <c r="N244" s="202">
        <f t="shared" si="52"/>
        <v>10000</v>
      </c>
      <c r="O244" s="202">
        <v>9</v>
      </c>
      <c r="P244" s="202">
        <f t="shared" si="53"/>
        <v>31</v>
      </c>
      <c r="Q244" s="202">
        <f t="shared" si="54"/>
        <v>7750</v>
      </c>
      <c r="R244" s="210" t="s">
        <v>657</v>
      </c>
      <c r="S244" s="211"/>
    </row>
    <row r="245" spans="2:19" s="212" customFormat="1" ht="20.25" x14ac:dyDescent="0.3">
      <c r="B245" s="208">
        <v>25</v>
      </c>
      <c r="C245" s="206">
        <v>45005</v>
      </c>
      <c r="D245" s="206">
        <v>45005</v>
      </c>
      <c r="E245" s="198" t="s">
        <v>672</v>
      </c>
      <c r="F245" s="198" t="s">
        <v>644</v>
      </c>
      <c r="G245" s="227">
        <v>4</v>
      </c>
      <c r="H245" s="223">
        <v>4956</v>
      </c>
      <c r="I245" s="199" t="s">
        <v>624</v>
      </c>
      <c r="J245" s="200">
        <v>5</v>
      </c>
      <c r="K245" s="201">
        <v>1050</v>
      </c>
      <c r="L245" s="201">
        <f>+K245*18%</f>
        <v>189</v>
      </c>
      <c r="M245" s="201">
        <f>+K245+L245</f>
        <v>1239</v>
      </c>
      <c r="N245" s="202">
        <f t="shared" si="52"/>
        <v>6195</v>
      </c>
      <c r="O245" s="202">
        <v>1</v>
      </c>
      <c r="P245" s="201">
        <f t="shared" si="53"/>
        <v>4</v>
      </c>
      <c r="Q245" s="201">
        <f t="shared" si="54"/>
        <v>4956</v>
      </c>
      <c r="R245" s="203" t="s">
        <v>647</v>
      </c>
      <c r="S245" s="211"/>
    </row>
    <row r="246" spans="2:19" s="212" customFormat="1" ht="20.25" x14ac:dyDescent="0.3">
      <c r="B246" s="208">
        <v>26</v>
      </c>
      <c r="C246" s="206">
        <v>45005</v>
      </c>
      <c r="D246" s="206">
        <v>45005</v>
      </c>
      <c r="E246" s="207" t="s">
        <v>673</v>
      </c>
      <c r="F246" s="207" t="s">
        <v>674</v>
      </c>
      <c r="G246" s="227">
        <v>2</v>
      </c>
      <c r="H246" s="223">
        <v>2445</v>
      </c>
      <c r="I246" s="228" t="s">
        <v>624</v>
      </c>
      <c r="J246" s="209">
        <v>12</v>
      </c>
      <c r="K246" s="202">
        <f>+M246/1.18</f>
        <v>1036.0169491525423</v>
      </c>
      <c r="L246" s="202">
        <v>171</v>
      </c>
      <c r="M246" s="202">
        <v>1222.5</v>
      </c>
      <c r="N246" s="202">
        <f t="shared" si="52"/>
        <v>14670</v>
      </c>
      <c r="O246" s="202">
        <f>1+1+1+1+1+1+1+1+1+1</f>
        <v>10</v>
      </c>
      <c r="P246" s="202">
        <f t="shared" si="53"/>
        <v>2</v>
      </c>
      <c r="Q246" s="202">
        <f t="shared" si="54"/>
        <v>2445</v>
      </c>
      <c r="R246" s="210" t="s">
        <v>662</v>
      </c>
      <c r="S246" s="211"/>
    </row>
    <row r="247" spans="2:19" s="212" customFormat="1" ht="20.25" x14ac:dyDescent="0.3">
      <c r="B247" s="208">
        <v>27</v>
      </c>
      <c r="C247" s="206">
        <v>45005</v>
      </c>
      <c r="D247" s="206">
        <v>45005</v>
      </c>
      <c r="E247" s="207" t="s">
        <v>675</v>
      </c>
      <c r="F247" s="207" t="s">
        <v>676</v>
      </c>
      <c r="G247" s="227">
        <v>10.75</v>
      </c>
      <c r="H247" s="223">
        <v>1141.6500000000001</v>
      </c>
      <c r="I247" s="228" t="s">
        <v>624</v>
      </c>
      <c r="J247" s="209">
        <v>12</v>
      </c>
      <c r="K247" s="202">
        <f>+M247/1.18</f>
        <v>90.000000000000014</v>
      </c>
      <c r="L247" s="202">
        <v>16.2</v>
      </c>
      <c r="M247" s="202">
        <v>106.2</v>
      </c>
      <c r="N247" s="202">
        <f t="shared" si="52"/>
        <v>1274.4000000000001</v>
      </c>
      <c r="O247" s="202">
        <f>0.25+0.25+0.25+0.5</f>
        <v>1.25</v>
      </c>
      <c r="P247" s="202">
        <f t="shared" si="53"/>
        <v>10.75</v>
      </c>
      <c r="Q247" s="202">
        <f t="shared" si="54"/>
        <v>1141.6500000000001</v>
      </c>
      <c r="R247" s="210" t="s">
        <v>662</v>
      </c>
      <c r="S247" s="211"/>
    </row>
    <row r="248" spans="2:19" s="212" customFormat="1" ht="20.25" x14ac:dyDescent="0.3">
      <c r="B248" s="208">
        <v>28</v>
      </c>
      <c r="C248" s="206">
        <v>45005</v>
      </c>
      <c r="D248" s="206">
        <v>45005</v>
      </c>
      <c r="E248" s="207" t="s">
        <v>677</v>
      </c>
      <c r="F248" s="207" t="s">
        <v>678</v>
      </c>
      <c r="G248" s="227">
        <v>3</v>
      </c>
      <c r="H248" s="223">
        <v>442.5</v>
      </c>
      <c r="I248" s="228" t="s">
        <v>230</v>
      </c>
      <c r="J248" s="209">
        <v>4</v>
      </c>
      <c r="K248" s="202">
        <f>+M248/1.18</f>
        <v>125</v>
      </c>
      <c r="L248" s="202">
        <v>22.5</v>
      </c>
      <c r="M248" s="202">
        <v>147.5</v>
      </c>
      <c r="N248" s="202">
        <f t="shared" si="52"/>
        <v>590</v>
      </c>
      <c r="O248" s="202">
        <v>1</v>
      </c>
      <c r="P248" s="202">
        <f t="shared" si="53"/>
        <v>3</v>
      </c>
      <c r="Q248" s="202">
        <f t="shared" si="54"/>
        <v>442.5</v>
      </c>
      <c r="R248" s="210" t="s">
        <v>662</v>
      </c>
    </row>
    <row r="249" spans="2:19" s="212" customFormat="1" ht="20.25" x14ac:dyDescent="0.3">
      <c r="B249" s="208">
        <v>29</v>
      </c>
      <c r="C249" s="206">
        <v>45099</v>
      </c>
      <c r="D249" s="206">
        <v>45099</v>
      </c>
      <c r="E249" s="207" t="s">
        <v>679</v>
      </c>
      <c r="F249" s="207" t="s">
        <v>680</v>
      </c>
      <c r="G249" s="227">
        <v>7</v>
      </c>
      <c r="H249" s="223">
        <v>448</v>
      </c>
      <c r="I249" s="228" t="s">
        <v>230</v>
      </c>
      <c r="J249" s="209">
        <v>8</v>
      </c>
      <c r="K249" s="202">
        <v>64</v>
      </c>
      <c r="L249" s="202"/>
      <c r="M249" s="201">
        <f>+K249+L249</f>
        <v>64</v>
      </c>
      <c r="N249" s="202">
        <f t="shared" si="52"/>
        <v>512</v>
      </c>
      <c r="O249" s="202">
        <v>1</v>
      </c>
      <c r="P249" s="202">
        <f t="shared" si="53"/>
        <v>7</v>
      </c>
      <c r="Q249" s="202">
        <f t="shared" si="54"/>
        <v>448</v>
      </c>
      <c r="R249" s="210" t="s">
        <v>621</v>
      </c>
    </row>
    <row r="250" spans="2:19" s="212" customFormat="1" ht="20.25" x14ac:dyDescent="0.3">
      <c r="B250" s="208">
        <v>30</v>
      </c>
      <c r="C250" s="206">
        <v>45005</v>
      </c>
      <c r="D250" s="206">
        <v>45005</v>
      </c>
      <c r="E250" s="207" t="s">
        <v>664</v>
      </c>
      <c r="F250" s="207" t="s">
        <v>681</v>
      </c>
      <c r="G250" s="227">
        <v>3</v>
      </c>
      <c r="H250" s="223">
        <v>1097.4000000000001</v>
      </c>
      <c r="I250" s="228" t="s">
        <v>230</v>
      </c>
      <c r="J250" s="209">
        <v>6</v>
      </c>
      <c r="K250" s="202">
        <f>+M250/1.18</f>
        <v>310</v>
      </c>
      <c r="L250" s="202">
        <v>55.8</v>
      </c>
      <c r="M250" s="202">
        <v>365.8</v>
      </c>
      <c r="N250" s="202">
        <f t="shared" si="52"/>
        <v>2194.8000000000002</v>
      </c>
      <c r="O250" s="202">
        <f>2+1</f>
        <v>3</v>
      </c>
      <c r="P250" s="202">
        <f t="shared" si="53"/>
        <v>3</v>
      </c>
      <c r="Q250" s="202">
        <f t="shared" si="54"/>
        <v>1097.4000000000001</v>
      </c>
      <c r="R250" s="210" t="s">
        <v>662</v>
      </c>
    </row>
    <row r="251" spans="2:19" s="212" customFormat="1" ht="20.25" x14ac:dyDescent="0.3">
      <c r="B251" s="208">
        <v>31</v>
      </c>
      <c r="C251" s="206">
        <v>45099</v>
      </c>
      <c r="D251" s="206">
        <v>45099</v>
      </c>
      <c r="E251" s="207" t="s">
        <v>682</v>
      </c>
      <c r="F251" s="207" t="s">
        <v>681</v>
      </c>
      <c r="G251" s="227">
        <v>4</v>
      </c>
      <c r="H251" s="223">
        <v>1249.8399999999999</v>
      </c>
      <c r="I251" s="228" t="s">
        <v>230</v>
      </c>
      <c r="J251" s="209">
        <v>7</v>
      </c>
      <c r="K251" s="202">
        <v>256.66000000000003</v>
      </c>
      <c r="L251" s="202">
        <v>55.8</v>
      </c>
      <c r="M251" s="201">
        <f>+K251+L251</f>
        <v>312.46000000000004</v>
      </c>
      <c r="N251" s="202">
        <f t="shared" si="52"/>
        <v>2187.2200000000003</v>
      </c>
      <c r="O251" s="202">
        <f>1+2</f>
        <v>3</v>
      </c>
      <c r="P251" s="202">
        <f t="shared" si="53"/>
        <v>4</v>
      </c>
      <c r="Q251" s="202">
        <f t="shared" si="54"/>
        <v>1249.8400000000001</v>
      </c>
      <c r="R251" s="210" t="s">
        <v>621</v>
      </c>
    </row>
    <row r="252" spans="2:19" s="212" customFormat="1" ht="20.25" x14ac:dyDescent="0.3">
      <c r="B252" s="208">
        <v>32</v>
      </c>
      <c r="C252" s="206">
        <v>45005</v>
      </c>
      <c r="D252" s="206">
        <v>45005</v>
      </c>
      <c r="E252" s="207" t="s">
        <v>641</v>
      </c>
      <c r="F252" s="207" t="s">
        <v>683</v>
      </c>
      <c r="G252" s="227">
        <v>8</v>
      </c>
      <c r="H252" s="223">
        <v>1982.4</v>
      </c>
      <c r="I252" s="228" t="s">
        <v>230</v>
      </c>
      <c r="J252" s="209">
        <v>8</v>
      </c>
      <c r="K252" s="202">
        <f>+M252/1.18</f>
        <v>210.00000000000003</v>
      </c>
      <c r="L252" s="202">
        <v>37.799999999999997</v>
      </c>
      <c r="M252" s="202">
        <v>247.8</v>
      </c>
      <c r="N252" s="202">
        <f t="shared" si="52"/>
        <v>1982.4</v>
      </c>
      <c r="O252" s="202">
        <v>0</v>
      </c>
      <c r="P252" s="202">
        <f t="shared" si="53"/>
        <v>8</v>
      </c>
      <c r="Q252" s="202">
        <f t="shared" si="54"/>
        <v>1982.4</v>
      </c>
      <c r="R252" s="210" t="s">
        <v>662</v>
      </c>
    </row>
    <row r="253" spans="2:19" s="212" customFormat="1" ht="20.25" x14ac:dyDescent="0.3">
      <c r="B253" s="208">
        <v>33</v>
      </c>
      <c r="C253" s="206">
        <v>45005</v>
      </c>
      <c r="D253" s="206">
        <v>45005</v>
      </c>
      <c r="E253" s="207" t="s">
        <v>684</v>
      </c>
      <c r="F253" s="207" t="s">
        <v>685</v>
      </c>
      <c r="G253" s="227">
        <v>8</v>
      </c>
      <c r="H253" s="223">
        <v>1982.4</v>
      </c>
      <c r="I253" s="228" t="s">
        <v>230</v>
      </c>
      <c r="J253" s="209">
        <v>8</v>
      </c>
      <c r="K253" s="202">
        <f>+M253/1.18</f>
        <v>210.00000000000003</v>
      </c>
      <c r="L253" s="202">
        <v>37.799999999999997</v>
      </c>
      <c r="M253" s="202">
        <v>247.8</v>
      </c>
      <c r="N253" s="202">
        <f t="shared" si="52"/>
        <v>1982.4</v>
      </c>
      <c r="O253" s="202">
        <v>0</v>
      </c>
      <c r="P253" s="202">
        <f t="shared" si="53"/>
        <v>8</v>
      </c>
      <c r="Q253" s="202">
        <f t="shared" si="54"/>
        <v>1982.4</v>
      </c>
      <c r="R253" s="210" t="s">
        <v>662</v>
      </c>
    </row>
    <row r="254" spans="2:19" s="212" customFormat="1" ht="20.25" x14ac:dyDescent="0.3">
      <c r="B254" s="208">
        <v>34</v>
      </c>
      <c r="C254" s="206">
        <v>45005</v>
      </c>
      <c r="D254" s="206">
        <v>45005</v>
      </c>
      <c r="E254" s="207" t="s">
        <v>686</v>
      </c>
      <c r="F254" s="207" t="s">
        <v>687</v>
      </c>
      <c r="G254" s="227">
        <v>5</v>
      </c>
      <c r="H254" s="223">
        <v>1180</v>
      </c>
      <c r="I254" s="228" t="s">
        <v>230</v>
      </c>
      <c r="J254" s="209">
        <v>5</v>
      </c>
      <c r="K254" s="202">
        <f>+M254/1.18</f>
        <v>200</v>
      </c>
      <c r="L254" s="202">
        <v>36</v>
      </c>
      <c r="M254" s="202">
        <v>236</v>
      </c>
      <c r="N254" s="202">
        <f t="shared" si="52"/>
        <v>1180</v>
      </c>
      <c r="O254" s="202">
        <v>0</v>
      </c>
      <c r="P254" s="202">
        <f t="shared" si="53"/>
        <v>5</v>
      </c>
      <c r="Q254" s="202">
        <f t="shared" si="54"/>
        <v>1180</v>
      </c>
      <c r="R254" s="210" t="s">
        <v>662</v>
      </c>
    </row>
    <row r="255" spans="2:19" s="212" customFormat="1" ht="20.25" x14ac:dyDescent="0.3">
      <c r="B255" s="208">
        <v>35</v>
      </c>
      <c r="C255" s="206">
        <v>45099</v>
      </c>
      <c r="D255" s="206">
        <v>45099</v>
      </c>
      <c r="E255" s="207" t="s">
        <v>688</v>
      </c>
      <c r="F255" s="207" t="s">
        <v>689</v>
      </c>
      <c r="G255" s="227">
        <v>27</v>
      </c>
      <c r="H255" s="223">
        <v>1312.74</v>
      </c>
      <c r="I255" s="228" t="s">
        <v>230</v>
      </c>
      <c r="J255" s="209">
        <v>30</v>
      </c>
      <c r="K255" s="202">
        <v>41.2</v>
      </c>
      <c r="L255" s="202">
        <v>7.42</v>
      </c>
      <c r="M255" s="201">
        <f>+K255+L255</f>
        <v>48.620000000000005</v>
      </c>
      <c r="N255" s="202">
        <f t="shared" si="52"/>
        <v>1458.6000000000001</v>
      </c>
      <c r="O255" s="202">
        <f>1+2</f>
        <v>3</v>
      </c>
      <c r="P255" s="202">
        <f t="shared" si="53"/>
        <v>27</v>
      </c>
      <c r="Q255" s="202">
        <f t="shared" si="54"/>
        <v>1312.7400000000002</v>
      </c>
      <c r="R255" s="210" t="s">
        <v>621</v>
      </c>
    </row>
    <row r="256" spans="2:19" s="212" customFormat="1" ht="21" thickBot="1" x14ac:dyDescent="0.35">
      <c r="B256" s="208">
        <v>36</v>
      </c>
      <c r="C256" s="206">
        <v>45099</v>
      </c>
      <c r="D256" s="206">
        <v>45099</v>
      </c>
      <c r="E256" s="207" t="s">
        <v>690</v>
      </c>
      <c r="F256" s="207" t="s">
        <v>691</v>
      </c>
      <c r="G256" s="227">
        <v>0.5</v>
      </c>
      <c r="H256" s="223">
        <v>490</v>
      </c>
      <c r="I256" s="228" t="s">
        <v>230</v>
      </c>
      <c r="J256" s="209">
        <v>1</v>
      </c>
      <c r="K256" s="202">
        <v>980</v>
      </c>
      <c r="L256" s="202">
        <f>+K256*0%</f>
        <v>0</v>
      </c>
      <c r="M256" s="201">
        <f>+K256+L256</f>
        <v>980</v>
      </c>
      <c r="N256" s="202">
        <f t="shared" si="52"/>
        <v>980</v>
      </c>
      <c r="O256" s="202">
        <v>0.5</v>
      </c>
      <c r="P256" s="202">
        <f t="shared" si="53"/>
        <v>0.5</v>
      </c>
      <c r="Q256" s="202">
        <f t="shared" si="54"/>
        <v>490</v>
      </c>
      <c r="R256" s="210" t="s">
        <v>657</v>
      </c>
    </row>
    <row r="257" spans="2:20" s="165" customFormat="1" ht="21" thickBot="1" x14ac:dyDescent="0.35">
      <c r="B257" s="208"/>
      <c r="G257" s="230"/>
      <c r="H257" s="231">
        <v>92358.199600000007</v>
      </c>
      <c r="I257" s="232"/>
      <c r="J257" s="192"/>
      <c r="K257" s="182"/>
      <c r="L257" s="182"/>
      <c r="M257" s="182"/>
      <c r="N257" s="182"/>
      <c r="P257" s="182"/>
    </row>
    <row r="258" spans="2:20" ht="31.5" x14ac:dyDescent="0.5">
      <c r="B258" s="233"/>
      <c r="C258" s="221" t="s">
        <v>692</v>
      </c>
      <c r="D258" s="221"/>
      <c r="E258" s="221"/>
      <c r="F258" s="221"/>
      <c r="G258" s="221"/>
      <c r="H258" s="221"/>
      <c r="I258" s="221"/>
      <c r="J258" s="221"/>
      <c r="K258" s="221"/>
      <c r="L258" s="221"/>
      <c r="M258" s="221"/>
      <c r="N258" s="221"/>
      <c r="O258" s="221"/>
      <c r="P258" s="221"/>
      <c r="Q258" s="221"/>
      <c r="R258" s="222"/>
    </row>
    <row r="259" spans="2:20" s="162" customFormat="1" ht="20.25" x14ac:dyDescent="0.3">
      <c r="B259" s="170" t="s">
        <v>213</v>
      </c>
      <c r="C259" s="171" t="s">
        <v>214</v>
      </c>
      <c r="D259" s="171" t="s">
        <v>215</v>
      </c>
      <c r="E259" s="171" t="s">
        <v>216</v>
      </c>
      <c r="F259" s="171" t="s">
        <v>217</v>
      </c>
      <c r="G259" s="171" t="s">
        <v>218</v>
      </c>
      <c r="H259" s="171" t="s">
        <v>219</v>
      </c>
      <c r="I259" s="171" t="s">
        <v>220</v>
      </c>
      <c r="J259" s="173" t="s">
        <v>221</v>
      </c>
      <c r="K259" s="173" t="s">
        <v>222</v>
      </c>
      <c r="L259" s="173" t="s">
        <v>223</v>
      </c>
      <c r="M259" s="173" t="s">
        <v>224</v>
      </c>
      <c r="N259" s="173" t="s">
        <v>225</v>
      </c>
      <c r="O259" s="173" t="s">
        <v>226</v>
      </c>
      <c r="P259" s="173" t="s">
        <v>218</v>
      </c>
      <c r="Q259" s="173" t="s">
        <v>219</v>
      </c>
      <c r="R259" s="173" t="s">
        <v>227</v>
      </c>
    </row>
    <row r="260" spans="2:20" s="212" customFormat="1" ht="20.25" x14ac:dyDescent="0.3">
      <c r="B260" s="208">
        <v>1</v>
      </c>
      <c r="C260" s="206">
        <v>43830</v>
      </c>
      <c r="D260" s="206">
        <v>43830</v>
      </c>
      <c r="E260" s="207" t="s">
        <v>693</v>
      </c>
      <c r="F260" s="207" t="s">
        <v>694</v>
      </c>
      <c r="G260" s="227">
        <v>5</v>
      </c>
      <c r="H260" s="223">
        <v>4495.8</v>
      </c>
      <c r="I260" s="208" t="s">
        <v>230</v>
      </c>
      <c r="J260" s="209">
        <v>5</v>
      </c>
      <c r="K260" s="202">
        <v>762</v>
      </c>
      <c r="L260" s="202">
        <f t="shared" ref="L260:L269" si="56">+K260*18%</f>
        <v>137.16</v>
      </c>
      <c r="M260" s="202">
        <f t="shared" ref="M260:M269" si="57">+K260+L260</f>
        <v>899.16</v>
      </c>
      <c r="N260" s="202">
        <f t="shared" ref="N260:N269" si="58">$J260*$M260</f>
        <v>4495.8</v>
      </c>
      <c r="O260" s="202">
        <v>0</v>
      </c>
      <c r="P260" s="202">
        <f t="shared" ref="P260:P271" si="59">$J260-$O260</f>
        <v>5</v>
      </c>
      <c r="Q260" s="202">
        <f t="shared" ref="Q260:Q269" si="60">$P260*$M260</f>
        <v>4495.8</v>
      </c>
      <c r="R260" s="210" t="s">
        <v>537</v>
      </c>
      <c r="S260" s="211">
        <f t="shared" ref="S260:S261" si="61">Q260/P260</f>
        <v>899.16000000000008</v>
      </c>
    </row>
    <row r="261" spans="2:20" s="212" customFormat="1" ht="20.25" x14ac:dyDescent="0.3">
      <c r="B261" s="208">
        <v>2</v>
      </c>
      <c r="C261" s="206">
        <v>43252</v>
      </c>
      <c r="D261" s="206">
        <v>43252</v>
      </c>
      <c r="E261" s="207" t="s">
        <v>695</v>
      </c>
      <c r="F261" s="207" t="s">
        <v>696</v>
      </c>
      <c r="G261" s="227">
        <v>1</v>
      </c>
      <c r="H261" s="223">
        <v>859.04</v>
      </c>
      <c r="I261" s="208" t="s">
        <v>230</v>
      </c>
      <c r="J261" s="209">
        <v>2</v>
      </c>
      <c r="K261" s="202">
        <v>728</v>
      </c>
      <c r="L261" s="202">
        <f t="shared" si="56"/>
        <v>131.04</v>
      </c>
      <c r="M261" s="202">
        <f t="shared" si="57"/>
        <v>859.04</v>
      </c>
      <c r="N261" s="202">
        <f t="shared" si="58"/>
        <v>1718.08</v>
      </c>
      <c r="O261" s="202">
        <v>1</v>
      </c>
      <c r="P261" s="202">
        <f t="shared" si="59"/>
        <v>1</v>
      </c>
      <c r="Q261" s="202">
        <f t="shared" si="60"/>
        <v>859.04</v>
      </c>
      <c r="R261" s="210"/>
      <c r="S261" s="211">
        <f t="shared" si="61"/>
        <v>859.04</v>
      </c>
    </row>
    <row r="262" spans="2:20" s="185" customFormat="1" ht="20.25" x14ac:dyDescent="0.3">
      <c r="B262" s="208">
        <v>3</v>
      </c>
      <c r="C262" s="176">
        <v>44180</v>
      </c>
      <c r="D262" s="206">
        <v>44180</v>
      </c>
      <c r="E262" s="177" t="s">
        <v>697</v>
      </c>
      <c r="F262" s="177" t="s">
        <v>698</v>
      </c>
      <c r="G262" s="227">
        <v>3</v>
      </c>
      <c r="H262" s="223">
        <v>2301</v>
      </c>
      <c r="I262" s="175" t="s">
        <v>230</v>
      </c>
      <c r="J262" s="180">
        <v>10</v>
      </c>
      <c r="K262" s="181">
        <v>650</v>
      </c>
      <c r="L262" s="202">
        <f t="shared" si="56"/>
        <v>117</v>
      </c>
      <c r="M262" s="202">
        <f t="shared" si="57"/>
        <v>767</v>
      </c>
      <c r="N262" s="202">
        <f t="shared" si="58"/>
        <v>7670</v>
      </c>
      <c r="O262" s="182">
        <f>4+2+1</f>
        <v>7</v>
      </c>
      <c r="P262" s="202">
        <f t="shared" si="59"/>
        <v>3</v>
      </c>
      <c r="Q262" s="202">
        <f t="shared" si="60"/>
        <v>2301</v>
      </c>
      <c r="R262" s="183" t="s">
        <v>531</v>
      </c>
      <c r="S262" s="184"/>
      <c r="T262" s="194"/>
    </row>
    <row r="263" spans="2:20" s="185" customFormat="1" ht="20.25" x14ac:dyDescent="0.3">
      <c r="B263" s="208">
        <v>4</v>
      </c>
      <c r="C263" s="197">
        <v>43252</v>
      </c>
      <c r="D263" s="206">
        <v>43252</v>
      </c>
      <c r="E263" s="198" t="s">
        <v>699</v>
      </c>
      <c r="F263" s="198" t="s">
        <v>700</v>
      </c>
      <c r="G263" s="227">
        <v>84</v>
      </c>
      <c r="H263" s="223">
        <v>792.96</v>
      </c>
      <c r="I263" s="175" t="s">
        <v>701</v>
      </c>
      <c r="J263" s="180">
        <f>77+10</f>
        <v>87</v>
      </c>
      <c r="K263" s="181">
        <v>8</v>
      </c>
      <c r="L263" s="202">
        <f t="shared" si="56"/>
        <v>1.44</v>
      </c>
      <c r="M263" s="202">
        <f t="shared" si="57"/>
        <v>9.44</v>
      </c>
      <c r="N263" s="202">
        <f t="shared" si="58"/>
        <v>821.28</v>
      </c>
      <c r="O263" s="182">
        <v>3</v>
      </c>
      <c r="P263" s="202">
        <f t="shared" si="59"/>
        <v>84</v>
      </c>
      <c r="Q263" s="202">
        <f t="shared" si="60"/>
        <v>792.95999999999992</v>
      </c>
      <c r="R263" s="181"/>
      <c r="S263" s="184">
        <v>9.44</v>
      </c>
    </row>
    <row r="264" spans="2:20" s="185" customFormat="1" ht="20.25" x14ac:dyDescent="0.3">
      <c r="B264" s="208">
        <v>5</v>
      </c>
      <c r="C264" s="176">
        <v>44180</v>
      </c>
      <c r="D264" s="206">
        <v>44180</v>
      </c>
      <c r="E264" s="177" t="s">
        <v>702</v>
      </c>
      <c r="F264" s="177" t="s">
        <v>703</v>
      </c>
      <c r="G264" s="227">
        <v>14</v>
      </c>
      <c r="H264" s="223">
        <v>5121.2</v>
      </c>
      <c r="I264" s="175" t="s">
        <v>230</v>
      </c>
      <c r="J264" s="180">
        <v>14</v>
      </c>
      <c r="K264" s="181">
        <v>310</v>
      </c>
      <c r="L264" s="202">
        <f t="shared" si="56"/>
        <v>55.8</v>
      </c>
      <c r="M264" s="202">
        <f t="shared" si="57"/>
        <v>365.8</v>
      </c>
      <c r="N264" s="202">
        <f t="shared" si="58"/>
        <v>5121.2</v>
      </c>
      <c r="O264" s="182">
        <v>0</v>
      </c>
      <c r="P264" s="202">
        <f t="shared" si="59"/>
        <v>14</v>
      </c>
      <c r="Q264" s="202">
        <f t="shared" si="60"/>
        <v>5121.2</v>
      </c>
      <c r="R264" s="183" t="s">
        <v>531</v>
      </c>
      <c r="S264" s="184"/>
      <c r="T264" s="194"/>
    </row>
    <row r="265" spans="2:20" s="185" customFormat="1" ht="20.25" x14ac:dyDescent="0.3">
      <c r="B265" s="208">
        <v>6</v>
      </c>
      <c r="C265" s="176">
        <v>44020</v>
      </c>
      <c r="D265" s="206">
        <v>44020</v>
      </c>
      <c r="E265" s="177" t="s">
        <v>704</v>
      </c>
      <c r="F265" s="177" t="s">
        <v>705</v>
      </c>
      <c r="G265" s="227">
        <v>4</v>
      </c>
      <c r="H265" s="223">
        <v>23128</v>
      </c>
      <c r="I265" s="175" t="s">
        <v>230</v>
      </c>
      <c r="J265" s="180">
        <v>10</v>
      </c>
      <c r="K265" s="181">
        <v>4900</v>
      </c>
      <c r="L265" s="202">
        <f t="shared" si="56"/>
        <v>882</v>
      </c>
      <c r="M265" s="202">
        <f t="shared" si="57"/>
        <v>5782</v>
      </c>
      <c r="N265" s="202">
        <f t="shared" si="58"/>
        <v>57820</v>
      </c>
      <c r="O265" s="182">
        <v>6</v>
      </c>
      <c r="P265" s="202">
        <f>$J265-$O265</f>
        <v>4</v>
      </c>
      <c r="Q265" s="202">
        <f t="shared" si="60"/>
        <v>23128</v>
      </c>
      <c r="R265" s="183" t="s">
        <v>706</v>
      </c>
      <c r="S265" s="184">
        <v>5782</v>
      </c>
    </row>
    <row r="266" spans="2:20" s="185" customFormat="1" ht="20.25" x14ac:dyDescent="0.3">
      <c r="B266" s="208">
        <v>7</v>
      </c>
      <c r="C266" s="176">
        <v>44180</v>
      </c>
      <c r="D266" s="206">
        <v>44180</v>
      </c>
      <c r="E266" s="177" t="s">
        <v>707</v>
      </c>
      <c r="F266" s="187" t="s">
        <v>708</v>
      </c>
      <c r="G266" s="227">
        <v>6</v>
      </c>
      <c r="H266" s="223">
        <v>1345.2</v>
      </c>
      <c r="I266" s="175" t="s">
        <v>230</v>
      </c>
      <c r="J266" s="180">
        <f>4+2</f>
        <v>6</v>
      </c>
      <c r="K266" s="181">
        <v>190</v>
      </c>
      <c r="L266" s="202">
        <f t="shared" si="56"/>
        <v>34.199999999999996</v>
      </c>
      <c r="M266" s="202">
        <f t="shared" si="57"/>
        <v>224.2</v>
      </c>
      <c r="N266" s="202">
        <f t="shared" si="58"/>
        <v>1345.1999999999998</v>
      </c>
      <c r="O266" s="182">
        <v>0</v>
      </c>
      <c r="P266" s="202">
        <f t="shared" si="59"/>
        <v>6</v>
      </c>
      <c r="Q266" s="202">
        <f t="shared" si="60"/>
        <v>1345.1999999999998</v>
      </c>
      <c r="R266" s="183" t="s">
        <v>531</v>
      </c>
      <c r="S266" s="184"/>
    </row>
    <row r="267" spans="2:20" s="185" customFormat="1" ht="20.25" x14ac:dyDescent="0.3">
      <c r="B267" s="208">
        <v>8</v>
      </c>
      <c r="C267" s="176">
        <v>45068</v>
      </c>
      <c r="D267" s="206">
        <v>45068</v>
      </c>
      <c r="E267" s="177" t="s">
        <v>695</v>
      </c>
      <c r="F267" s="187" t="s">
        <v>709</v>
      </c>
      <c r="G267" s="227">
        <v>9</v>
      </c>
      <c r="H267" s="223">
        <v>6344.3879999999999</v>
      </c>
      <c r="I267" s="175" t="s">
        <v>230</v>
      </c>
      <c r="J267" s="180">
        <v>10</v>
      </c>
      <c r="K267" s="181">
        <v>597.4</v>
      </c>
      <c r="L267" s="202">
        <f t="shared" si="56"/>
        <v>107.532</v>
      </c>
      <c r="M267" s="202">
        <f t="shared" si="57"/>
        <v>704.93200000000002</v>
      </c>
      <c r="N267" s="202">
        <f t="shared" si="58"/>
        <v>7049.32</v>
      </c>
      <c r="O267" s="182">
        <v>1</v>
      </c>
      <c r="P267" s="202">
        <f t="shared" si="59"/>
        <v>9</v>
      </c>
      <c r="Q267" s="202">
        <f t="shared" si="60"/>
        <v>6344.3879999999999</v>
      </c>
      <c r="R267" s="183" t="s">
        <v>710</v>
      </c>
      <c r="S267" s="184"/>
    </row>
    <row r="268" spans="2:20" s="185" customFormat="1" ht="20.25" x14ac:dyDescent="0.3">
      <c r="B268" s="208">
        <v>9</v>
      </c>
      <c r="C268" s="176">
        <v>45065</v>
      </c>
      <c r="D268" s="206">
        <v>45065</v>
      </c>
      <c r="E268" s="177" t="s">
        <v>711</v>
      </c>
      <c r="F268" s="187" t="s">
        <v>709</v>
      </c>
      <c r="G268" s="227">
        <v>7</v>
      </c>
      <c r="H268" s="223">
        <v>5980.24</v>
      </c>
      <c r="I268" s="175" t="s">
        <v>230</v>
      </c>
      <c r="J268" s="180">
        <v>10</v>
      </c>
      <c r="K268" s="181">
        <v>724</v>
      </c>
      <c r="L268" s="202">
        <f t="shared" si="56"/>
        <v>130.32</v>
      </c>
      <c r="M268" s="202">
        <f t="shared" si="57"/>
        <v>854.31999999999994</v>
      </c>
      <c r="N268" s="202">
        <f t="shared" si="58"/>
        <v>8543.1999999999989</v>
      </c>
      <c r="O268" s="182">
        <v>3</v>
      </c>
      <c r="P268" s="202">
        <f t="shared" si="59"/>
        <v>7</v>
      </c>
      <c r="Q268" s="202">
        <f t="shared" si="60"/>
        <v>5980.24</v>
      </c>
      <c r="R268" s="183" t="s">
        <v>712</v>
      </c>
      <c r="S268" s="184"/>
    </row>
    <row r="269" spans="2:20" s="185" customFormat="1" ht="21" thickBot="1" x14ac:dyDescent="0.35">
      <c r="B269" s="208">
        <v>10</v>
      </c>
      <c r="C269" s="176">
        <v>45086</v>
      </c>
      <c r="D269" s="176">
        <v>45086</v>
      </c>
      <c r="E269" s="177" t="s">
        <v>713</v>
      </c>
      <c r="F269" s="187" t="s">
        <v>714</v>
      </c>
      <c r="G269" s="227">
        <v>20</v>
      </c>
      <c r="H269" s="223">
        <v>17868.504000000001</v>
      </c>
      <c r="I269" s="175" t="s">
        <v>230</v>
      </c>
      <c r="J269" s="180">
        <v>20</v>
      </c>
      <c r="K269" s="181">
        <v>757.14</v>
      </c>
      <c r="L269" s="202">
        <f t="shared" si="56"/>
        <v>136.2852</v>
      </c>
      <c r="M269" s="202">
        <f t="shared" si="57"/>
        <v>893.42520000000002</v>
      </c>
      <c r="N269" s="202">
        <f t="shared" si="58"/>
        <v>17868.504000000001</v>
      </c>
      <c r="O269" s="182">
        <v>0</v>
      </c>
      <c r="P269" s="202">
        <f t="shared" si="59"/>
        <v>20</v>
      </c>
      <c r="Q269" s="202">
        <f t="shared" si="60"/>
        <v>17868.504000000001</v>
      </c>
      <c r="R269" s="183" t="s">
        <v>715</v>
      </c>
      <c r="S269" s="184"/>
    </row>
    <row r="270" spans="2:20" ht="21" thickBot="1" x14ac:dyDescent="0.35">
      <c r="G270" s="234"/>
      <c r="H270" s="216">
        <v>68236.331999999995</v>
      </c>
      <c r="K270" s="235"/>
      <c r="P270" s="202">
        <f t="shared" si="59"/>
        <v>0</v>
      </c>
    </row>
    <row r="271" spans="2:20" ht="15.75" thickBot="1" x14ac:dyDescent="0.3">
      <c r="H271" s="237"/>
      <c r="P271" s="202">
        <f t="shared" si="59"/>
        <v>0</v>
      </c>
    </row>
    <row r="272" spans="2:20" ht="32.25" thickBot="1" x14ac:dyDescent="0.55000000000000004">
      <c r="B272" s="169" t="s">
        <v>716</v>
      </c>
      <c r="C272" s="169"/>
      <c r="D272" s="169"/>
      <c r="E272" s="169"/>
      <c r="F272" s="169"/>
      <c r="G272" s="238"/>
      <c r="H272" s="216">
        <v>761783.05410109495</v>
      </c>
      <c r="I272" s="239"/>
    </row>
    <row r="274" spans="3:15" x14ac:dyDescent="0.25">
      <c r="H274" s="237"/>
    </row>
    <row r="276" spans="3:15" ht="21" x14ac:dyDescent="0.35">
      <c r="N276" s="240"/>
      <c r="O276" s="241"/>
    </row>
    <row r="277" spans="3:15" ht="27" x14ac:dyDescent="0.35">
      <c r="C277" s="242" t="s">
        <v>717</v>
      </c>
      <c r="D277" s="242"/>
      <c r="E277" s="242"/>
      <c r="G277" s="242" t="s">
        <v>718</v>
      </c>
      <c r="H277" s="242"/>
      <c r="I277" s="242"/>
      <c r="J277" s="242"/>
    </row>
    <row r="278" spans="3:15" ht="27.75" x14ac:dyDescent="0.4">
      <c r="C278" s="243" t="s">
        <v>719</v>
      </c>
      <c r="D278" s="243"/>
      <c r="E278" s="243"/>
      <c r="G278" s="243" t="s">
        <v>720</v>
      </c>
      <c r="H278" s="243"/>
      <c r="I278" s="243"/>
      <c r="J278" s="243"/>
    </row>
    <row r="279" spans="3:15" ht="27.75" x14ac:dyDescent="0.4">
      <c r="C279" s="243" t="s">
        <v>721</v>
      </c>
      <c r="D279" s="243"/>
      <c r="E279" s="243"/>
      <c r="G279" s="243" t="s">
        <v>722</v>
      </c>
      <c r="H279" s="243"/>
      <c r="I279" s="243"/>
      <c r="J279" s="243"/>
    </row>
    <row r="300" spans="9:9" x14ac:dyDescent="0.25">
      <c r="I300" s="162">
        <f>5+10+8+6+7+4+2+4+10+5+6+11+11+11+3+12+4+4+3</f>
        <v>126</v>
      </c>
    </row>
  </sheetData>
  <mergeCells count="12">
    <mergeCell ref="C277:E277"/>
    <mergeCell ref="G277:J277"/>
    <mergeCell ref="C278:E278"/>
    <mergeCell ref="G278:J278"/>
    <mergeCell ref="C279:E279"/>
    <mergeCell ref="G279:J279"/>
    <mergeCell ref="B3:Q3"/>
    <mergeCell ref="B4:Q4"/>
    <mergeCell ref="B5:Q5"/>
    <mergeCell ref="B6:Q6"/>
    <mergeCell ref="B7:Q7"/>
    <mergeCell ref="B272:G27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B2DE1-2DF9-4F5A-9A71-6B4F0CAA8928}">
  <dimension ref="A1:H519"/>
  <sheetViews>
    <sheetView showGridLines="0" workbookViewId="0">
      <selection activeCell="C14" sqref="C14"/>
    </sheetView>
  </sheetViews>
  <sheetFormatPr baseColWidth="10" defaultColWidth="9.140625" defaultRowHeight="15" x14ac:dyDescent="0.25"/>
  <cols>
    <col min="1" max="1" width="20.7109375" customWidth="1"/>
    <col min="2" max="2" width="6.5703125" customWidth="1"/>
    <col min="3" max="3" width="34.140625" customWidth="1"/>
    <col min="4" max="5" width="8.42578125" style="248" customWidth="1"/>
    <col min="6" max="8" width="13.85546875" style="283" customWidth="1"/>
  </cols>
  <sheetData>
    <row r="1" spans="1:8" ht="57" customHeight="1" x14ac:dyDescent="0.25">
      <c r="A1" s="244"/>
      <c r="B1" s="244"/>
      <c r="C1" s="244"/>
      <c r="D1" s="245"/>
      <c r="E1" s="245"/>
      <c r="F1" s="246"/>
      <c r="G1" s="246"/>
      <c r="H1" s="246"/>
    </row>
    <row r="2" spans="1:8" ht="26.25" customHeight="1" x14ac:dyDescent="0.25">
      <c r="A2" s="244"/>
      <c r="B2" s="247"/>
      <c r="C2" s="247"/>
      <c r="F2" s="249"/>
      <c r="G2" s="249"/>
      <c r="H2" s="249"/>
    </row>
    <row r="3" spans="1:8" ht="16.149999999999999" customHeight="1" x14ac:dyDescent="0.25">
      <c r="A3" s="250" t="s">
        <v>723</v>
      </c>
      <c r="B3" s="251" t="s">
        <v>723</v>
      </c>
      <c r="C3" s="251" t="s">
        <v>724</v>
      </c>
      <c r="D3" s="252" t="s">
        <v>725</v>
      </c>
      <c r="E3" s="252" t="s">
        <v>726</v>
      </c>
      <c r="F3" s="253" t="s">
        <v>727</v>
      </c>
      <c r="G3" s="253" t="s">
        <v>728</v>
      </c>
      <c r="H3" s="254" t="s">
        <v>729</v>
      </c>
    </row>
    <row r="4" spans="1:8" ht="12.2" customHeight="1" x14ac:dyDescent="0.25">
      <c r="A4" s="255"/>
      <c r="B4" s="256" t="s">
        <v>730</v>
      </c>
      <c r="C4" s="256"/>
      <c r="D4" s="257"/>
      <c r="E4" s="257"/>
      <c r="F4" s="258" t="s">
        <v>731</v>
      </c>
      <c r="G4" s="258" t="s">
        <v>731</v>
      </c>
      <c r="H4" s="259" t="s">
        <v>731</v>
      </c>
    </row>
    <row r="5" spans="1:8" ht="16.5" customHeight="1" x14ac:dyDescent="0.25">
      <c r="A5" s="260" t="s">
        <v>732</v>
      </c>
      <c r="B5" s="260"/>
      <c r="C5" s="260"/>
      <c r="D5" s="260"/>
      <c r="E5" s="260"/>
      <c r="F5" s="261">
        <v>29835689.75</v>
      </c>
      <c r="G5" s="261">
        <v>22232224.18</v>
      </c>
      <c r="H5" s="261">
        <v>7603465.5700000003</v>
      </c>
    </row>
    <row r="6" spans="1:8" ht="14.1" customHeight="1" x14ac:dyDescent="0.25">
      <c r="A6" s="262" t="s">
        <v>733</v>
      </c>
      <c r="B6" s="262"/>
      <c r="C6" s="262" t="s">
        <v>734</v>
      </c>
      <c r="D6" s="245"/>
      <c r="E6" s="245"/>
      <c r="F6" s="263">
        <v>10949249.85</v>
      </c>
      <c r="G6" s="263">
        <v>8348495.1799999997</v>
      </c>
      <c r="H6" s="263">
        <v>2600754.67</v>
      </c>
    </row>
    <row r="7" spans="1:8" ht="14.1" customHeight="1" x14ac:dyDescent="0.25">
      <c r="A7" s="264" t="s">
        <v>735</v>
      </c>
      <c r="B7" s="264"/>
      <c r="C7" s="264" t="s">
        <v>736</v>
      </c>
      <c r="D7" s="265" t="s">
        <v>737</v>
      </c>
      <c r="E7" s="265" t="s">
        <v>738</v>
      </c>
      <c r="F7" s="266">
        <v>1789400</v>
      </c>
      <c r="G7" s="266">
        <v>1789399</v>
      </c>
      <c r="H7" s="266">
        <v>1</v>
      </c>
    </row>
    <row r="8" spans="1:8" ht="14.1" customHeight="1" x14ac:dyDescent="0.25">
      <c r="A8" s="264" t="s">
        <v>739</v>
      </c>
      <c r="B8" s="264"/>
      <c r="C8" s="264" t="s">
        <v>740</v>
      </c>
      <c r="D8" s="265" t="s">
        <v>741</v>
      </c>
      <c r="E8" s="265" t="s">
        <v>742</v>
      </c>
      <c r="F8" s="266">
        <v>2234400</v>
      </c>
      <c r="G8" s="266">
        <v>186199.92</v>
      </c>
      <c r="H8" s="266">
        <v>2048200.08</v>
      </c>
    </row>
    <row r="9" spans="1:8" ht="14.1" customHeight="1" x14ac:dyDescent="0.25">
      <c r="A9" s="264" t="s">
        <v>743</v>
      </c>
      <c r="B9" s="264"/>
      <c r="C9" s="264" t="s">
        <v>744</v>
      </c>
      <c r="D9" s="265" t="s">
        <v>737</v>
      </c>
      <c r="E9" s="265" t="s">
        <v>738</v>
      </c>
      <c r="F9" s="266">
        <v>1835400</v>
      </c>
      <c r="G9" s="266">
        <v>1835399</v>
      </c>
      <c r="H9" s="266">
        <v>1</v>
      </c>
    </row>
    <row r="10" spans="1:8" ht="14.1" customHeight="1" x14ac:dyDescent="0.25">
      <c r="A10" s="264" t="s">
        <v>745</v>
      </c>
      <c r="B10" s="264"/>
      <c r="C10" s="264" t="s">
        <v>746</v>
      </c>
      <c r="D10" s="265" t="s">
        <v>747</v>
      </c>
      <c r="E10" s="265" t="s">
        <v>748</v>
      </c>
      <c r="F10" s="266">
        <v>1541999.84</v>
      </c>
      <c r="G10" s="266">
        <v>989449.25</v>
      </c>
      <c r="H10" s="266">
        <v>552550.59</v>
      </c>
    </row>
    <row r="11" spans="1:8" ht="14.1" customHeight="1" x14ac:dyDescent="0.25">
      <c r="A11" s="264" t="s">
        <v>749</v>
      </c>
      <c r="B11" s="264"/>
      <c r="C11" s="264" t="s">
        <v>736</v>
      </c>
      <c r="D11" s="265" t="s">
        <v>750</v>
      </c>
      <c r="E11" s="265" t="s">
        <v>751</v>
      </c>
      <c r="F11" s="266">
        <v>2343700</v>
      </c>
      <c r="G11" s="266">
        <v>2343699</v>
      </c>
      <c r="H11" s="266">
        <v>1</v>
      </c>
    </row>
    <row r="12" spans="1:8" ht="18.399999999999999" customHeight="1" x14ac:dyDescent="0.25">
      <c r="A12" s="264" t="s">
        <v>752</v>
      </c>
      <c r="B12" s="264"/>
      <c r="C12" s="264" t="s">
        <v>736</v>
      </c>
      <c r="D12" s="265" t="s">
        <v>737</v>
      </c>
      <c r="E12" s="265" t="s">
        <v>738</v>
      </c>
      <c r="F12" s="266">
        <v>1204350.01</v>
      </c>
      <c r="G12" s="266">
        <v>1204349.01</v>
      </c>
      <c r="H12" s="266">
        <v>1</v>
      </c>
    </row>
    <row r="13" spans="1:8" ht="18.399999999999999" customHeight="1" x14ac:dyDescent="0.25">
      <c r="A13" s="267" t="s">
        <v>753</v>
      </c>
      <c r="B13" s="267"/>
      <c r="C13" s="267"/>
      <c r="D13" s="267"/>
      <c r="E13" s="267"/>
      <c r="F13" s="263">
        <v>131557.32</v>
      </c>
      <c r="G13" s="263">
        <v>127185.31</v>
      </c>
      <c r="H13" s="263">
        <v>4372.01</v>
      </c>
    </row>
    <row r="14" spans="1:8" ht="14.1" customHeight="1" x14ac:dyDescent="0.25">
      <c r="A14" s="264" t="s">
        <v>754</v>
      </c>
      <c r="B14" s="264"/>
      <c r="C14" s="264" t="s">
        <v>755</v>
      </c>
      <c r="D14" s="265" t="s">
        <v>756</v>
      </c>
      <c r="E14" s="265" t="s">
        <v>757</v>
      </c>
      <c r="F14" s="266">
        <v>2183</v>
      </c>
      <c r="G14" s="266">
        <v>1091</v>
      </c>
      <c r="H14" s="266">
        <v>1092</v>
      </c>
    </row>
    <row r="15" spans="1:8" ht="14.1" customHeight="1" x14ac:dyDescent="0.25">
      <c r="A15" s="264" t="s">
        <v>758</v>
      </c>
      <c r="B15" s="264"/>
      <c r="C15" s="264" t="s">
        <v>755</v>
      </c>
      <c r="D15" s="265" t="s">
        <v>756</v>
      </c>
      <c r="E15" s="265" t="s">
        <v>757</v>
      </c>
      <c r="F15" s="266">
        <v>2183</v>
      </c>
      <c r="G15" s="266">
        <v>1091</v>
      </c>
      <c r="H15" s="266">
        <v>1092</v>
      </c>
    </row>
    <row r="16" spans="1:8" ht="14.1" customHeight="1" x14ac:dyDescent="0.25">
      <c r="A16" s="264" t="s">
        <v>759</v>
      </c>
      <c r="B16" s="264"/>
      <c r="C16" s="264" t="s">
        <v>755</v>
      </c>
      <c r="D16" s="265" t="s">
        <v>756</v>
      </c>
      <c r="E16" s="265" t="s">
        <v>757</v>
      </c>
      <c r="F16" s="266">
        <v>2183</v>
      </c>
      <c r="G16" s="266">
        <v>1091</v>
      </c>
      <c r="H16" s="266">
        <v>1092</v>
      </c>
    </row>
    <row r="17" spans="1:8" ht="14.1" customHeight="1" x14ac:dyDescent="0.25">
      <c r="A17" s="264" t="s">
        <v>760</v>
      </c>
      <c r="B17" s="264"/>
      <c r="C17" s="264" t="s">
        <v>761</v>
      </c>
      <c r="D17" s="265" t="s">
        <v>762</v>
      </c>
      <c r="E17" s="265" t="s">
        <v>763</v>
      </c>
      <c r="F17" s="266">
        <v>31860</v>
      </c>
      <c r="G17" s="266">
        <v>31859</v>
      </c>
      <c r="H17" s="266">
        <v>1</v>
      </c>
    </row>
    <row r="18" spans="1:8" ht="14.1" customHeight="1" x14ac:dyDescent="0.25">
      <c r="A18" s="264" t="s">
        <v>764</v>
      </c>
      <c r="B18" s="264"/>
      <c r="C18" s="264" t="s">
        <v>755</v>
      </c>
      <c r="D18" s="265" t="s">
        <v>756</v>
      </c>
      <c r="E18" s="265" t="s">
        <v>757</v>
      </c>
      <c r="F18" s="266">
        <v>2183</v>
      </c>
      <c r="G18" s="266">
        <v>1091</v>
      </c>
      <c r="H18" s="266">
        <v>1092</v>
      </c>
    </row>
    <row r="19" spans="1:8" ht="14.1" customHeight="1" x14ac:dyDescent="0.25">
      <c r="A19" s="264" t="s">
        <v>765</v>
      </c>
      <c r="B19" s="264"/>
      <c r="C19" s="264" t="s">
        <v>766</v>
      </c>
      <c r="D19" s="265" t="s">
        <v>767</v>
      </c>
      <c r="E19" s="265" t="s">
        <v>768</v>
      </c>
      <c r="F19" s="266">
        <v>42952</v>
      </c>
      <c r="G19" s="266">
        <v>42951</v>
      </c>
      <c r="H19" s="266">
        <v>1</v>
      </c>
    </row>
    <row r="20" spans="1:8" ht="14.1" customHeight="1" x14ac:dyDescent="0.25">
      <c r="A20" s="264" t="s">
        <v>769</v>
      </c>
      <c r="B20" s="264"/>
      <c r="C20" s="264" t="s">
        <v>770</v>
      </c>
      <c r="D20" s="265" t="s">
        <v>762</v>
      </c>
      <c r="E20" s="265" t="s">
        <v>771</v>
      </c>
      <c r="F20" s="266">
        <v>25000.66</v>
      </c>
      <c r="G20" s="266">
        <v>24999.66</v>
      </c>
      <c r="H20" s="266">
        <v>1</v>
      </c>
    </row>
    <row r="21" spans="1:8" ht="21.2" customHeight="1" x14ac:dyDescent="0.25">
      <c r="A21" s="264" t="s">
        <v>772</v>
      </c>
      <c r="B21" s="264"/>
      <c r="C21" s="264" t="s">
        <v>773</v>
      </c>
      <c r="D21" s="265" t="s">
        <v>767</v>
      </c>
      <c r="E21" s="265" t="s">
        <v>768</v>
      </c>
      <c r="F21" s="266">
        <v>23012.66</v>
      </c>
      <c r="G21" s="266">
        <v>23011.66</v>
      </c>
      <c r="H21" s="266">
        <v>1</v>
      </c>
    </row>
    <row r="22" spans="1:8" ht="21.2" customHeight="1" x14ac:dyDescent="0.25">
      <c r="A22" s="268" t="s">
        <v>774</v>
      </c>
      <c r="B22" s="268"/>
      <c r="C22" s="268"/>
      <c r="D22" s="268"/>
      <c r="E22" s="268"/>
      <c r="F22" s="269">
        <v>4335</v>
      </c>
      <c r="G22" s="269">
        <v>1571.07</v>
      </c>
      <c r="H22" s="269">
        <v>2763.93</v>
      </c>
    </row>
    <row r="23" spans="1:8" ht="21.2" customHeight="1" x14ac:dyDescent="0.25">
      <c r="A23" s="264" t="s">
        <v>775</v>
      </c>
      <c r="B23" s="264"/>
      <c r="C23" s="264" t="s">
        <v>776</v>
      </c>
      <c r="D23" s="265" t="s">
        <v>777</v>
      </c>
      <c r="E23" s="265" t="s">
        <v>778</v>
      </c>
      <c r="F23" s="266">
        <v>4335</v>
      </c>
      <c r="G23" s="266">
        <v>1571.07</v>
      </c>
      <c r="H23" s="266">
        <v>2763.93</v>
      </c>
    </row>
    <row r="24" spans="1:8" ht="21.2" customHeight="1" x14ac:dyDescent="0.25">
      <c r="A24" s="268" t="s">
        <v>779</v>
      </c>
      <c r="B24" s="268"/>
      <c r="C24" s="268"/>
      <c r="D24" s="268"/>
      <c r="E24" s="268"/>
      <c r="F24" s="269">
        <v>891118.32</v>
      </c>
      <c r="G24" s="269">
        <v>455725.94</v>
      </c>
      <c r="H24" s="269">
        <v>435392.38</v>
      </c>
    </row>
    <row r="25" spans="1:8" ht="14.1" customHeight="1" x14ac:dyDescent="0.25">
      <c r="A25" s="264" t="s">
        <v>780</v>
      </c>
      <c r="B25" s="264"/>
      <c r="C25" s="264" t="s">
        <v>781</v>
      </c>
      <c r="D25" s="265" t="s">
        <v>782</v>
      </c>
      <c r="E25" s="265" t="s">
        <v>783</v>
      </c>
      <c r="F25" s="266">
        <v>43188</v>
      </c>
      <c r="G25" s="266">
        <v>30950.68</v>
      </c>
      <c r="H25" s="266">
        <v>12237.32</v>
      </c>
    </row>
    <row r="26" spans="1:8" ht="14.1" customHeight="1" x14ac:dyDescent="0.25">
      <c r="A26" s="264" t="s">
        <v>784</v>
      </c>
      <c r="B26" s="264"/>
      <c r="C26" s="264" t="s">
        <v>785</v>
      </c>
      <c r="D26" s="265" t="s">
        <v>786</v>
      </c>
      <c r="E26" s="265" t="s">
        <v>787</v>
      </c>
      <c r="F26" s="266">
        <v>12971</v>
      </c>
      <c r="G26" s="266">
        <v>972.75</v>
      </c>
      <c r="H26" s="266">
        <v>11998.25</v>
      </c>
    </row>
    <row r="27" spans="1:8" ht="14.1" customHeight="1" x14ac:dyDescent="0.25">
      <c r="A27" s="264" t="s">
        <v>788</v>
      </c>
      <c r="B27" s="264"/>
      <c r="C27" s="264" t="s">
        <v>789</v>
      </c>
      <c r="D27" s="265" t="s">
        <v>790</v>
      </c>
      <c r="E27" s="265" t="s">
        <v>791</v>
      </c>
      <c r="F27" s="266">
        <v>23836</v>
      </c>
      <c r="G27" s="266">
        <v>1390.38</v>
      </c>
      <c r="H27" s="266">
        <v>22445.63</v>
      </c>
    </row>
    <row r="28" spans="1:8" ht="14.1" customHeight="1" x14ac:dyDescent="0.25">
      <c r="A28" s="264" t="s">
        <v>792</v>
      </c>
      <c r="B28" s="264"/>
      <c r="C28" s="264" t="s">
        <v>793</v>
      </c>
      <c r="D28" s="265" t="s">
        <v>794</v>
      </c>
      <c r="E28" s="265" t="s">
        <v>795</v>
      </c>
      <c r="F28" s="266">
        <v>13570</v>
      </c>
      <c r="G28" s="266">
        <v>3053.03</v>
      </c>
      <c r="H28" s="266">
        <v>10516.98</v>
      </c>
    </row>
    <row r="29" spans="1:8" ht="14.1" customHeight="1" x14ac:dyDescent="0.25">
      <c r="A29" s="264" t="s">
        <v>796</v>
      </c>
      <c r="B29" s="264"/>
      <c r="C29" s="264" t="s">
        <v>797</v>
      </c>
      <c r="D29" s="265" t="s">
        <v>798</v>
      </c>
      <c r="E29" s="265" t="s">
        <v>799</v>
      </c>
      <c r="F29" s="266">
        <v>31000</v>
      </c>
      <c r="G29" s="266">
        <v>3358.23</v>
      </c>
      <c r="H29" s="266">
        <v>27641.78</v>
      </c>
    </row>
    <row r="30" spans="1:8" ht="14.1" customHeight="1" x14ac:dyDescent="0.25">
      <c r="A30" s="264" t="s">
        <v>800</v>
      </c>
      <c r="B30" s="264"/>
      <c r="C30" s="264" t="s">
        <v>781</v>
      </c>
      <c r="D30" s="265" t="s">
        <v>801</v>
      </c>
      <c r="E30" s="265" t="s">
        <v>802</v>
      </c>
      <c r="F30" s="266">
        <v>32955.71</v>
      </c>
      <c r="G30" s="266">
        <v>20596.689999999999</v>
      </c>
      <c r="H30" s="266">
        <v>12359.02</v>
      </c>
    </row>
    <row r="31" spans="1:8" ht="14.1" customHeight="1" x14ac:dyDescent="0.25">
      <c r="A31" s="264" t="s">
        <v>803</v>
      </c>
      <c r="B31" s="264"/>
      <c r="C31" s="264" t="s">
        <v>781</v>
      </c>
      <c r="D31" s="265" t="s">
        <v>782</v>
      </c>
      <c r="E31" s="265" t="s">
        <v>783</v>
      </c>
      <c r="F31" s="266">
        <v>43188</v>
      </c>
      <c r="G31" s="266">
        <v>30950.68</v>
      </c>
      <c r="H31" s="266">
        <v>12237.32</v>
      </c>
    </row>
    <row r="32" spans="1:8" ht="14.1" customHeight="1" x14ac:dyDescent="0.25">
      <c r="A32" s="264" t="s">
        <v>804</v>
      </c>
      <c r="B32" s="264"/>
      <c r="C32" s="264" t="s">
        <v>781</v>
      </c>
      <c r="D32" s="265" t="s">
        <v>782</v>
      </c>
      <c r="E32" s="265" t="s">
        <v>783</v>
      </c>
      <c r="F32" s="266">
        <v>40828</v>
      </c>
      <c r="G32" s="266">
        <v>29259.35</v>
      </c>
      <c r="H32" s="266">
        <v>11568.65</v>
      </c>
    </row>
    <row r="33" spans="1:8" ht="14.1" customHeight="1" x14ac:dyDescent="0.25">
      <c r="A33" s="264" t="s">
        <v>805</v>
      </c>
      <c r="B33" s="264"/>
      <c r="C33" s="264" t="s">
        <v>806</v>
      </c>
      <c r="D33" s="265" t="s">
        <v>750</v>
      </c>
      <c r="E33" s="265" t="s">
        <v>778</v>
      </c>
      <c r="F33" s="266">
        <v>3095</v>
      </c>
      <c r="G33" s="266">
        <v>2243.15</v>
      </c>
      <c r="H33" s="266">
        <v>851.85</v>
      </c>
    </row>
    <row r="34" spans="1:8" ht="14.1" customHeight="1" x14ac:dyDescent="0.25">
      <c r="A34" s="264" t="s">
        <v>807</v>
      </c>
      <c r="B34" s="264"/>
      <c r="C34" s="264" t="s">
        <v>781</v>
      </c>
      <c r="D34" s="265" t="s">
        <v>808</v>
      </c>
      <c r="E34" s="265" t="s">
        <v>802</v>
      </c>
      <c r="F34" s="266">
        <v>32955.71</v>
      </c>
      <c r="G34" s="266">
        <v>20596.689999999999</v>
      </c>
      <c r="H34" s="266">
        <v>12359.02</v>
      </c>
    </row>
    <row r="35" spans="1:8" ht="14.1" customHeight="1" x14ac:dyDescent="0.25">
      <c r="A35" s="264" t="s">
        <v>809</v>
      </c>
      <c r="B35" s="264"/>
      <c r="C35" s="264" t="s">
        <v>781</v>
      </c>
      <c r="D35" s="265" t="s">
        <v>782</v>
      </c>
      <c r="E35" s="265" t="s">
        <v>783</v>
      </c>
      <c r="F35" s="266">
        <v>51330</v>
      </c>
      <c r="G35" s="266">
        <v>36785.78</v>
      </c>
      <c r="H35" s="266">
        <v>14544.22</v>
      </c>
    </row>
    <row r="36" spans="1:8" ht="14.1" customHeight="1" x14ac:dyDescent="0.25">
      <c r="A36" s="264" t="s">
        <v>810</v>
      </c>
      <c r="B36" s="264"/>
      <c r="C36" s="264" t="s">
        <v>781</v>
      </c>
      <c r="D36" s="265" t="s">
        <v>808</v>
      </c>
      <c r="E36" s="265" t="s">
        <v>802</v>
      </c>
      <c r="F36" s="266">
        <v>43575.74</v>
      </c>
      <c r="G36" s="266">
        <v>27234.21</v>
      </c>
      <c r="H36" s="266">
        <v>16341.53</v>
      </c>
    </row>
    <row r="37" spans="1:8" ht="14.1" customHeight="1" x14ac:dyDescent="0.25">
      <c r="A37" s="264" t="s">
        <v>811</v>
      </c>
      <c r="B37" s="264"/>
      <c r="C37" s="264" t="s">
        <v>785</v>
      </c>
      <c r="D37" s="265" t="s">
        <v>786</v>
      </c>
      <c r="E37" s="265" t="s">
        <v>787</v>
      </c>
      <c r="F37" s="266">
        <v>12971</v>
      </c>
      <c r="G37" s="266">
        <v>972.75</v>
      </c>
      <c r="H37" s="266">
        <v>11998.25</v>
      </c>
    </row>
    <row r="38" spans="1:8" ht="14.1" customHeight="1" x14ac:dyDescent="0.25">
      <c r="A38" s="264" t="s">
        <v>812</v>
      </c>
      <c r="B38" s="264"/>
      <c r="C38" s="264" t="s">
        <v>789</v>
      </c>
      <c r="D38" s="265" t="s">
        <v>790</v>
      </c>
      <c r="E38" s="265" t="s">
        <v>791</v>
      </c>
      <c r="F38" s="266">
        <v>23836</v>
      </c>
      <c r="G38" s="266">
        <v>1390.38</v>
      </c>
      <c r="H38" s="266">
        <v>22445.63</v>
      </c>
    </row>
    <row r="39" spans="1:8" ht="14.1" customHeight="1" x14ac:dyDescent="0.25">
      <c r="A39" s="264" t="s">
        <v>813</v>
      </c>
      <c r="B39" s="264"/>
      <c r="C39" s="264" t="s">
        <v>814</v>
      </c>
      <c r="D39" s="265" t="s">
        <v>750</v>
      </c>
      <c r="E39" s="265" t="s">
        <v>815</v>
      </c>
      <c r="F39" s="266">
        <v>17741.25</v>
      </c>
      <c r="G39" s="266">
        <v>13453.02</v>
      </c>
      <c r="H39" s="266">
        <v>4288.2299999999996</v>
      </c>
    </row>
    <row r="40" spans="1:8" ht="14.1" customHeight="1" x14ac:dyDescent="0.25">
      <c r="A40" s="264" t="s">
        <v>816</v>
      </c>
      <c r="B40" s="264"/>
      <c r="C40" s="264" t="s">
        <v>797</v>
      </c>
      <c r="D40" s="265" t="s">
        <v>817</v>
      </c>
      <c r="E40" s="265" t="s">
        <v>818</v>
      </c>
      <c r="F40" s="266">
        <v>37357.14</v>
      </c>
      <c r="G40" s="266">
        <v>5292.12</v>
      </c>
      <c r="H40" s="266">
        <v>32065.02</v>
      </c>
    </row>
    <row r="41" spans="1:8" ht="14.1" customHeight="1" x14ac:dyDescent="0.25">
      <c r="A41" s="270" t="s">
        <v>819</v>
      </c>
      <c r="B41" s="271"/>
      <c r="C41" s="271" t="s">
        <v>820</v>
      </c>
      <c r="D41" s="272" t="s">
        <v>821</v>
      </c>
      <c r="E41" s="272" t="s">
        <v>822</v>
      </c>
      <c r="F41" s="273">
        <v>3739.21</v>
      </c>
      <c r="G41" s="273">
        <v>2647.89</v>
      </c>
      <c r="H41" s="273">
        <v>1091.32</v>
      </c>
    </row>
    <row r="42" spans="1:8" ht="14.1" customHeight="1" x14ac:dyDescent="0.25">
      <c r="A42" s="264" t="s">
        <v>823</v>
      </c>
      <c r="B42" s="274"/>
      <c r="C42" s="274" t="s">
        <v>824</v>
      </c>
      <c r="D42" s="265" t="s">
        <v>825</v>
      </c>
      <c r="E42" s="265" t="s">
        <v>825</v>
      </c>
      <c r="F42" s="275">
        <v>6608</v>
      </c>
      <c r="G42" s="275">
        <v>1816.92</v>
      </c>
      <c r="H42" s="275">
        <v>4791.08</v>
      </c>
    </row>
    <row r="43" spans="1:8" ht="14.1" customHeight="1" x14ac:dyDescent="0.25">
      <c r="A43" s="264" t="s">
        <v>826</v>
      </c>
      <c r="B43" s="274"/>
      <c r="C43" s="274" t="s">
        <v>781</v>
      </c>
      <c r="D43" s="265" t="s">
        <v>808</v>
      </c>
      <c r="E43" s="265" t="s">
        <v>802</v>
      </c>
      <c r="F43" s="275">
        <v>32955.71</v>
      </c>
      <c r="G43" s="275">
        <v>20596.689999999999</v>
      </c>
      <c r="H43" s="275">
        <v>12359.02</v>
      </c>
    </row>
    <row r="44" spans="1:8" ht="14.1" customHeight="1" x14ac:dyDescent="0.25">
      <c r="A44" s="264" t="s">
        <v>827</v>
      </c>
      <c r="B44" s="274"/>
      <c r="C44" s="274" t="s">
        <v>828</v>
      </c>
      <c r="D44" s="265" t="s">
        <v>750</v>
      </c>
      <c r="E44" s="265" t="s">
        <v>778</v>
      </c>
      <c r="F44" s="275">
        <v>4550</v>
      </c>
      <c r="G44" s="275">
        <v>3298.02</v>
      </c>
      <c r="H44" s="275">
        <v>1251.98</v>
      </c>
    </row>
    <row r="45" spans="1:8" ht="14.1" customHeight="1" x14ac:dyDescent="0.25">
      <c r="A45" s="264" t="s">
        <v>829</v>
      </c>
      <c r="B45" s="274"/>
      <c r="C45" s="274" t="s">
        <v>781</v>
      </c>
      <c r="D45" s="265" t="s">
        <v>808</v>
      </c>
      <c r="E45" s="265" t="s">
        <v>802</v>
      </c>
      <c r="F45" s="275">
        <v>32955.71</v>
      </c>
      <c r="G45" s="275">
        <v>20596.689999999999</v>
      </c>
      <c r="H45" s="275">
        <v>12359.02</v>
      </c>
    </row>
    <row r="46" spans="1:8" ht="14.1" customHeight="1" x14ac:dyDescent="0.25">
      <c r="A46" s="264" t="s">
        <v>830</v>
      </c>
      <c r="B46" s="274"/>
      <c r="C46" s="274" t="s">
        <v>781</v>
      </c>
      <c r="D46" s="265" t="s">
        <v>782</v>
      </c>
      <c r="E46" s="265" t="s">
        <v>783</v>
      </c>
      <c r="F46" s="275">
        <v>54810</v>
      </c>
      <c r="G46" s="275">
        <v>39279.78</v>
      </c>
      <c r="H46" s="275">
        <v>15530.22</v>
      </c>
    </row>
    <row r="47" spans="1:8" ht="14.1" customHeight="1" x14ac:dyDescent="0.25">
      <c r="A47" s="264" t="s">
        <v>831</v>
      </c>
      <c r="B47" s="274"/>
      <c r="C47" s="274" t="s">
        <v>781</v>
      </c>
      <c r="D47" s="265" t="s">
        <v>825</v>
      </c>
      <c r="E47" s="265" t="s">
        <v>825</v>
      </c>
      <c r="F47" s="275">
        <v>27612</v>
      </c>
      <c r="G47" s="275">
        <v>7593.02</v>
      </c>
      <c r="H47" s="275">
        <v>20018.98</v>
      </c>
    </row>
    <row r="48" spans="1:8" ht="14.1" customHeight="1" x14ac:dyDescent="0.25">
      <c r="A48" s="264" t="s">
        <v>832</v>
      </c>
      <c r="B48" s="274"/>
      <c r="C48" s="274" t="s">
        <v>833</v>
      </c>
      <c r="D48" s="265" t="s">
        <v>782</v>
      </c>
      <c r="E48" s="265" t="s">
        <v>834</v>
      </c>
      <c r="F48" s="275">
        <v>1495</v>
      </c>
      <c r="G48" s="275">
        <v>1120.5</v>
      </c>
      <c r="H48" s="276">
        <v>374.5</v>
      </c>
    </row>
    <row r="49" spans="1:8" ht="14.1" customHeight="1" x14ac:dyDescent="0.25">
      <c r="A49" s="264" t="s">
        <v>835</v>
      </c>
      <c r="B49" s="274"/>
      <c r="C49" s="274" t="s">
        <v>781</v>
      </c>
      <c r="D49" s="265" t="s">
        <v>808</v>
      </c>
      <c r="E49" s="265" t="s">
        <v>802</v>
      </c>
      <c r="F49" s="275">
        <v>32955.71</v>
      </c>
      <c r="G49" s="275">
        <v>20596.689999999999</v>
      </c>
      <c r="H49" s="275">
        <v>12359.02</v>
      </c>
    </row>
    <row r="50" spans="1:8" ht="14.1" customHeight="1" x14ac:dyDescent="0.25">
      <c r="A50" s="264" t="s">
        <v>836</v>
      </c>
      <c r="B50" s="274"/>
      <c r="C50" s="274" t="s">
        <v>781</v>
      </c>
      <c r="D50" s="265" t="s">
        <v>837</v>
      </c>
      <c r="E50" s="265" t="s">
        <v>783</v>
      </c>
      <c r="F50" s="275">
        <v>40828</v>
      </c>
      <c r="G50" s="275">
        <v>29259.35</v>
      </c>
      <c r="H50" s="275">
        <v>11568.65</v>
      </c>
    </row>
    <row r="51" spans="1:8" ht="14.1" customHeight="1" x14ac:dyDescent="0.25">
      <c r="A51" s="264" t="s">
        <v>838</v>
      </c>
      <c r="B51" s="274"/>
      <c r="C51" s="274" t="s">
        <v>839</v>
      </c>
      <c r="D51" s="265" t="s">
        <v>840</v>
      </c>
      <c r="E51" s="265" t="s">
        <v>795</v>
      </c>
      <c r="F51" s="275">
        <v>10738</v>
      </c>
      <c r="G51" s="275">
        <v>2415.83</v>
      </c>
      <c r="H51" s="275">
        <v>8322.18</v>
      </c>
    </row>
    <row r="52" spans="1:8" ht="14.1" customHeight="1" x14ac:dyDescent="0.25">
      <c r="A52" s="264" t="s">
        <v>841</v>
      </c>
      <c r="B52" s="274"/>
      <c r="C52" s="274" t="s">
        <v>842</v>
      </c>
      <c r="D52" s="265" t="s">
        <v>843</v>
      </c>
      <c r="E52" s="265" t="s">
        <v>844</v>
      </c>
      <c r="F52" s="275">
        <v>15500.48</v>
      </c>
      <c r="G52" s="275">
        <v>4391.5200000000004</v>
      </c>
      <c r="H52" s="275">
        <v>11108.96</v>
      </c>
    </row>
    <row r="53" spans="1:8" ht="14.1" customHeight="1" x14ac:dyDescent="0.25">
      <c r="A53" s="264" t="s">
        <v>845</v>
      </c>
      <c r="B53" s="274"/>
      <c r="C53" s="274" t="s">
        <v>846</v>
      </c>
      <c r="D53" s="265" t="s">
        <v>794</v>
      </c>
      <c r="E53" s="265" t="s">
        <v>795</v>
      </c>
      <c r="F53" s="275">
        <v>13570</v>
      </c>
      <c r="G53" s="275">
        <v>3053.03</v>
      </c>
      <c r="H53" s="275">
        <v>10516.98</v>
      </c>
    </row>
    <row r="54" spans="1:8" ht="14.1" customHeight="1" x14ac:dyDescent="0.25">
      <c r="A54" s="264" t="s">
        <v>847</v>
      </c>
      <c r="B54" s="274"/>
      <c r="C54" s="274" t="s">
        <v>781</v>
      </c>
      <c r="D54" s="265" t="s">
        <v>782</v>
      </c>
      <c r="E54" s="265" t="s">
        <v>783</v>
      </c>
      <c r="F54" s="275">
        <v>53690</v>
      </c>
      <c r="G54" s="275">
        <v>38477.11</v>
      </c>
      <c r="H54" s="275">
        <v>15212.89</v>
      </c>
    </row>
    <row r="55" spans="1:8" ht="14.1" customHeight="1" x14ac:dyDescent="0.25">
      <c r="A55" s="264" t="s">
        <v>848</v>
      </c>
      <c r="B55" s="274"/>
      <c r="C55" s="274" t="s">
        <v>849</v>
      </c>
      <c r="D55" s="265" t="s">
        <v>850</v>
      </c>
      <c r="E55" s="265" t="s">
        <v>851</v>
      </c>
      <c r="F55" s="275">
        <v>9756.24</v>
      </c>
      <c r="G55" s="275">
        <v>5853.14</v>
      </c>
      <c r="H55" s="275">
        <v>3903.1</v>
      </c>
    </row>
    <row r="56" spans="1:8" ht="14.1" customHeight="1" x14ac:dyDescent="0.25">
      <c r="A56" s="264" t="s">
        <v>852</v>
      </c>
      <c r="B56" s="274"/>
      <c r="C56" s="274" t="s">
        <v>781</v>
      </c>
      <c r="D56" s="265" t="s">
        <v>808</v>
      </c>
      <c r="E56" s="265" t="s">
        <v>802</v>
      </c>
      <c r="F56" s="275">
        <v>32955.71</v>
      </c>
      <c r="G56" s="275">
        <v>20596.689999999999</v>
      </c>
      <c r="H56" s="275">
        <v>12359.02</v>
      </c>
    </row>
    <row r="57" spans="1:8" ht="21.2" customHeight="1" x14ac:dyDescent="0.25">
      <c r="A57" s="264" t="s">
        <v>853</v>
      </c>
      <c r="B57" s="274"/>
      <c r="C57" s="274" t="s">
        <v>854</v>
      </c>
      <c r="D57" s="265" t="s">
        <v>798</v>
      </c>
      <c r="E57" s="265" t="s">
        <v>799</v>
      </c>
      <c r="F57" s="275">
        <v>52000</v>
      </c>
      <c r="G57" s="275">
        <v>5633.23</v>
      </c>
      <c r="H57" s="275">
        <v>46366.78</v>
      </c>
    </row>
    <row r="58" spans="1:8" ht="21.2" customHeight="1" x14ac:dyDescent="0.25">
      <c r="A58" s="268" t="s">
        <v>855</v>
      </c>
      <c r="B58" s="268"/>
      <c r="C58" s="268"/>
      <c r="D58" s="268"/>
      <c r="E58" s="268"/>
      <c r="F58" s="277">
        <v>465144.2</v>
      </c>
      <c r="G58" s="277">
        <v>187695.62</v>
      </c>
      <c r="H58" s="277">
        <v>277448.58</v>
      </c>
    </row>
    <row r="59" spans="1:8" ht="14.1" customHeight="1" x14ac:dyDescent="0.25">
      <c r="A59" s="264" t="s">
        <v>856</v>
      </c>
      <c r="B59" s="274"/>
      <c r="C59" s="274" t="s">
        <v>857</v>
      </c>
      <c r="D59" s="265" t="s">
        <v>858</v>
      </c>
      <c r="E59" s="265" t="s">
        <v>859</v>
      </c>
      <c r="F59" s="275">
        <v>162474.20000000001</v>
      </c>
      <c r="G59" s="275">
        <v>162473.20000000001</v>
      </c>
      <c r="H59" s="276">
        <v>1</v>
      </c>
    </row>
    <row r="60" spans="1:8" ht="21.2" customHeight="1" x14ac:dyDescent="0.25">
      <c r="A60" s="264" t="s">
        <v>860</v>
      </c>
      <c r="B60" s="274"/>
      <c r="C60" s="274" t="s">
        <v>861</v>
      </c>
      <c r="D60" s="265" t="s">
        <v>862</v>
      </c>
      <c r="E60" s="265" t="s">
        <v>863</v>
      </c>
      <c r="F60" s="275">
        <v>302670</v>
      </c>
      <c r="G60" s="275">
        <v>25222.42</v>
      </c>
      <c r="H60" s="275">
        <v>277447.58</v>
      </c>
    </row>
    <row r="61" spans="1:8" ht="21.2" customHeight="1" x14ac:dyDescent="0.25">
      <c r="A61" s="268" t="s">
        <v>864</v>
      </c>
      <c r="B61" s="268"/>
      <c r="C61" s="268"/>
      <c r="D61" s="268"/>
      <c r="E61" s="268"/>
      <c r="F61" s="277">
        <v>4525349.63</v>
      </c>
      <c r="G61" s="277">
        <v>2931616.87</v>
      </c>
      <c r="H61" s="277">
        <v>1593732.76</v>
      </c>
    </row>
    <row r="62" spans="1:8" ht="14.1" customHeight="1" x14ac:dyDescent="0.25">
      <c r="A62" s="264" t="s">
        <v>865</v>
      </c>
      <c r="B62" s="274"/>
      <c r="C62" s="274" t="s">
        <v>866</v>
      </c>
      <c r="D62" s="265" t="s">
        <v>867</v>
      </c>
      <c r="E62" s="265" t="s">
        <v>868</v>
      </c>
      <c r="F62" s="275">
        <v>24780</v>
      </c>
      <c r="G62" s="275">
        <v>2753.22</v>
      </c>
      <c r="H62" s="275">
        <v>22026.78</v>
      </c>
    </row>
    <row r="63" spans="1:8" ht="14.1" customHeight="1" x14ac:dyDescent="0.25">
      <c r="A63" s="264" t="s">
        <v>869</v>
      </c>
      <c r="B63" s="274"/>
      <c r="C63" s="274" t="s">
        <v>870</v>
      </c>
      <c r="D63" s="265" t="s">
        <v>756</v>
      </c>
      <c r="E63" s="265" t="s">
        <v>871</v>
      </c>
      <c r="F63" s="275">
        <v>2301</v>
      </c>
      <c r="G63" s="275">
        <v>1597.22</v>
      </c>
      <c r="H63" s="276">
        <v>703.78</v>
      </c>
    </row>
    <row r="64" spans="1:8" ht="14.1" customHeight="1" x14ac:dyDescent="0.25">
      <c r="A64" s="264" t="s">
        <v>872</v>
      </c>
      <c r="B64" s="274"/>
      <c r="C64" s="274" t="s">
        <v>873</v>
      </c>
      <c r="D64" s="265" t="s">
        <v>874</v>
      </c>
      <c r="E64" s="265" t="s">
        <v>875</v>
      </c>
      <c r="F64" s="275">
        <v>459020</v>
      </c>
      <c r="G64" s="275">
        <v>459019</v>
      </c>
      <c r="H64" s="276">
        <v>1</v>
      </c>
    </row>
    <row r="65" spans="1:8" ht="14.1" customHeight="1" x14ac:dyDescent="0.25">
      <c r="A65" s="264" t="s">
        <v>876</v>
      </c>
      <c r="B65" s="274"/>
      <c r="C65" s="274" t="s">
        <v>877</v>
      </c>
      <c r="D65" s="265" t="s">
        <v>878</v>
      </c>
      <c r="E65" s="265" t="s">
        <v>879</v>
      </c>
      <c r="F65" s="275">
        <v>196767.35999999999</v>
      </c>
      <c r="G65" s="275">
        <v>157413.09</v>
      </c>
      <c r="H65" s="275">
        <v>39354.269999999997</v>
      </c>
    </row>
    <row r="66" spans="1:8" ht="14.1" customHeight="1" x14ac:dyDescent="0.25">
      <c r="A66" s="264" t="s">
        <v>880</v>
      </c>
      <c r="B66" s="274"/>
      <c r="C66" s="274" t="s">
        <v>881</v>
      </c>
      <c r="D66" s="265" t="s">
        <v>882</v>
      </c>
      <c r="E66" s="265" t="s">
        <v>883</v>
      </c>
      <c r="F66" s="275">
        <v>14514</v>
      </c>
      <c r="G66" s="275">
        <v>14513</v>
      </c>
      <c r="H66" s="276">
        <v>1</v>
      </c>
    </row>
    <row r="67" spans="1:8" ht="14.1" customHeight="1" x14ac:dyDescent="0.25">
      <c r="A67" s="264" t="s">
        <v>884</v>
      </c>
      <c r="B67" s="274"/>
      <c r="C67" s="274" t="s">
        <v>870</v>
      </c>
      <c r="D67" s="265" t="s">
        <v>756</v>
      </c>
      <c r="E67" s="265" t="s">
        <v>871</v>
      </c>
      <c r="F67" s="275">
        <v>2301</v>
      </c>
      <c r="G67" s="275">
        <v>1597.22</v>
      </c>
      <c r="H67" s="276">
        <v>703.78</v>
      </c>
    </row>
    <row r="68" spans="1:8" ht="14.1" customHeight="1" x14ac:dyDescent="0.25">
      <c r="A68" s="264" t="s">
        <v>885</v>
      </c>
      <c r="B68" s="274"/>
      <c r="C68" s="274" t="s">
        <v>886</v>
      </c>
      <c r="D68" s="265" t="s">
        <v>887</v>
      </c>
      <c r="E68" s="265" t="s">
        <v>888</v>
      </c>
      <c r="F68" s="275">
        <v>106999.99</v>
      </c>
      <c r="G68" s="275">
        <v>53499.5</v>
      </c>
      <c r="H68" s="275">
        <v>53500.5</v>
      </c>
    </row>
    <row r="69" spans="1:8" ht="14.1" customHeight="1" x14ac:dyDescent="0.25">
      <c r="A69" s="264" t="s">
        <v>889</v>
      </c>
      <c r="B69" s="274"/>
      <c r="C69" s="274" t="s">
        <v>890</v>
      </c>
      <c r="D69" s="265" t="s">
        <v>867</v>
      </c>
      <c r="E69" s="265" t="s">
        <v>868</v>
      </c>
      <c r="F69" s="275">
        <v>15340</v>
      </c>
      <c r="G69" s="275">
        <v>1704.33</v>
      </c>
      <c r="H69" s="275">
        <v>13635.67</v>
      </c>
    </row>
    <row r="70" spans="1:8" ht="14.1" customHeight="1" x14ac:dyDescent="0.25">
      <c r="A70" s="264" t="s">
        <v>891</v>
      </c>
      <c r="B70" s="274"/>
      <c r="C70" s="274" t="s">
        <v>892</v>
      </c>
      <c r="D70" s="265" t="s">
        <v>878</v>
      </c>
      <c r="E70" s="265" t="s">
        <v>879</v>
      </c>
      <c r="F70" s="275">
        <v>818524</v>
      </c>
      <c r="G70" s="275">
        <v>654818.4</v>
      </c>
      <c r="H70" s="275">
        <v>163705.60000000001</v>
      </c>
    </row>
    <row r="71" spans="1:8" ht="14.1" customHeight="1" x14ac:dyDescent="0.25">
      <c r="A71" s="264" t="s">
        <v>893</v>
      </c>
      <c r="B71" s="274"/>
      <c r="C71" s="274" t="s">
        <v>881</v>
      </c>
      <c r="D71" s="265" t="s">
        <v>882</v>
      </c>
      <c r="E71" s="265" t="s">
        <v>883</v>
      </c>
      <c r="F71" s="275">
        <v>14514</v>
      </c>
      <c r="G71" s="275">
        <v>14513</v>
      </c>
      <c r="H71" s="276">
        <v>1</v>
      </c>
    </row>
    <row r="72" spans="1:8" ht="14.1" customHeight="1" x14ac:dyDescent="0.25">
      <c r="A72" s="264" t="s">
        <v>894</v>
      </c>
      <c r="B72" s="274"/>
      <c r="C72" s="274" t="s">
        <v>895</v>
      </c>
      <c r="D72" s="265" t="s">
        <v>896</v>
      </c>
      <c r="E72" s="265" t="s">
        <v>883</v>
      </c>
      <c r="F72" s="275">
        <v>2428.83</v>
      </c>
      <c r="G72" s="275">
        <v>2427.83</v>
      </c>
      <c r="H72" s="276">
        <v>1</v>
      </c>
    </row>
    <row r="73" spans="1:8" ht="14.1" customHeight="1" x14ac:dyDescent="0.25">
      <c r="A73" s="264" t="s">
        <v>897</v>
      </c>
      <c r="B73" s="274"/>
      <c r="C73" s="274" t="s">
        <v>898</v>
      </c>
      <c r="D73" s="265" t="s">
        <v>862</v>
      </c>
      <c r="E73" s="265" t="s">
        <v>899</v>
      </c>
      <c r="F73" s="275">
        <v>277300</v>
      </c>
      <c r="G73" s="275">
        <v>23108.25</v>
      </c>
      <c r="H73" s="275">
        <v>254191.75</v>
      </c>
    </row>
    <row r="74" spans="1:8" ht="14.1" customHeight="1" x14ac:dyDescent="0.25">
      <c r="A74" s="264" t="s">
        <v>900</v>
      </c>
      <c r="B74" s="274"/>
      <c r="C74" s="274" t="s">
        <v>886</v>
      </c>
      <c r="D74" s="265" t="s">
        <v>858</v>
      </c>
      <c r="E74" s="265" t="s">
        <v>859</v>
      </c>
      <c r="F74" s="275">
        <v>95891.520000000004</v>
      </c>
      <c r="G74" s="275">
        <v>95890.52</v>
      </c>
      <c r="H74" s="276">
        <v>1</v>
      </c>
    </row>
    <row r="75" spans="1:8" ht="14.1" customHeight="1" x14ac:dyDescent="0.25">
      <c r="A75" s="264" t="s">
        <v>901</v>
      </c>
      <c r="B75" s="274"/>
      <c r="C75" s="274" t="s">
        <v>870</v>
      </c>
      <c r="D75" s="265" t="s">
        <v>756</v>
      </c>
      <c r="E75" s="265" t="s">
        <v>871</v>
      </c>
      <c r="F75" s="275">
        <v>2301</v>
      </c>
      <c r="G75" s="275">
        <v>1597.22</v>
      </c>
      <c r="H75" s="276">
        <v>703.78</v>
      </c>
    </row>
    <row r="76" spans="1:8" ht="14.1" customHeight="1" x14ac:dyDescent="0.25">
      <c r="A76" s="264" t="s">
        <v>902</v>
      </c>
      <c r="B76" s="274"/>
      <c r="C76" s="274" t="s">
        <v>903</v>
      </c>
      <c r="D76" s="265" t="s">
        <v>874</v>
      </c>
      <c r="E76" s="265" t="s">
        <v>904</v>
      </c>
      <c r="F76" s="275">
        <v>59944</v>
      </c>
      <c r="G76" s="275">
        <v>59943</v>
      </c>
      <c r="H76" s="276">
        <v>1</v>
      </c>
    </row>
    <row r="77" spans="1:8" ht="21.2" customHeight="1" x14ac:dyDescent="0.25">
      <c r="A77" s="264" t="s">
        <v>905</v>
      </c>
      <c r="B77" s="274"/>
      <c r="C77" s="274" t="s">
        <v>906</v>
      </c>
      <c r="D77" s="265" t="s">
        <v>878</v>
      </c>
      <c r="E77" s="265" t="s">
        <v>879</v>
      </c>
      <c r="F77" s="275">
        <v>586131.26</v>
      </c>
      <c r="G77" s="275">
        <v>468904.2</v>
      </c>
      <c r="H77" s="275">
        <v>117227.06</v>
      </c>
    </row>
    <row r="78" spans="1:8" ht="21.4" customHeight="1" x14ac:dyDescent="0.25">
      <c r="A78" s="270" t="s">
        <v>907</v>
      </c>
      <c r="B78" s="270"/>
      <c r="C78" s="271" t="s">
        <v>908</v>
      </c>
      <c r="D78" s="272" t="s">
        <v>909</v>
      </c>
      <c r="E78" s="272" t="s">
        <v>910</v>
      </c>
      <c r="F78" s="273">
        <v>14514</v>
      </c>
      <c r="G78" s="273">
        <v>14513</v>
      </c>
      <c r="H78" s="278">
        <v>1</v>
      </c>
    </row>
    <row r="79" spans="1:8" ht="14.1" customHeight="1" x14ac:dyDescent="0.25">
      <c r="A79" s="264" t="s">
        <v>911</v>
      </c>
      <c r="B79" s="264"/>
      <c r="C79" s="274" t="s">
        <v>895</v>
      </c>
      <c r="D79" s="265" t="s">
        <v>896</v>
      </c>
      <c r="E79" s="265" t="s">
        <v>883</v>
      </c>
      <c r="F79" s="275">
        <v>2428.83</v>
      </c>
      <c r="G79" s="275">
        <v>2427.83</v>
      </c>
      <c r="H79" s="276">
        <v>1</v>
      </c>
    </row>
    <row r="80" spans="1:8" ht="14.1" customHeight="1" x14ac:dyDescent="0.25">
      <c r="A80" s="264" t="s">
        <v>912</v>
      </c>
      <c r="B80" s="264"/>
      <c r="C80" s="274" t="s">
        <v>913</v>
      </c>
      <c r="D80" s="265" t="s">
        <v>862</v>
      </c>
      <c r="E80" s="265" t="s">
        <v>899</v>
      </c>
      <c r="F80" s="275">
        <v>59000</v>
      </c>
      <c r="G80" s="275">
        <v>4916.58</v>
      </c>
      <c r="H80" s="275">
        <v>54083.42</v>
      </c>
    </row>
    <row r="81" spans="1:8" ht="14.1" customHeight="1" x14ac:dyDescent="0.25">
      <c r="A81" s="264" t="s">
        <v>914</v>
      </c>
      <c r="B81" s="264"/>
      <c r="C81" s="274" t="s">
        <v>915</v>
      </c>
      <c r="D81" s="265" t="s">
        <v>916</v>
      </c>
      <c r="E81" s="265" t="s">
        <v>917</v>
      </c>
      <c r="F81" s="276">
        <v>500</v>
      </c>
      <c r="G81" s="276">
        <v>499</v>
      </c>
      <c r="H81" s="276">
        <v>1</v>
      </c>
    </row>
    <row r="82" spans="1:8" ht="14.1" customHeight="1" x14ac:dyDescent="0.25">
      <c r="A82" s="264" t="s">
        <v>918</v>
      </c>
      <c r="B82" s="264"/>
      <c r="C82" s="274" t="s">
        <v>870</v>
      </c>
      <c r="D82" s="265" t="s">
        <v>756</v>
      </c>
      <c r="E82" s="265" t="s">
        <v>871</v>
      </c>
      <c r="F82" s="275">
        <v>2301</v>
      </c>
      <c r="G82" s="275">
        <v>1597.22</v>
      </c>
      <c r="H82" s="276">
        <v>703.78</v>
      </c>
    </row>
    <row r="83" spans="1:8" ht="14.1" customHeight="1" x14ac:dyDescent="0.25">
      <c r="A83" s="264" t="s">
        <v>919</v>
      </c>
      <c r="B83" s="264"/>
      <c r="C83" s="274" t="s">
        <v>920</v>
      </c>
      <c r="D83" s="265" t="s">
        <v>867</v>
      </c>
      <c r="E83" s="265" t="s">
        <v>868</v>
      </c>
      <c r="F83" s="275">
        <v>9440</v>
      </c>
      <c r="G83" s="275">
        <v>1048.78</v>
      </c>
      <c r="H83" s="275">
        <v>8391.2199999999993</v>
      </c>
    </row>
    <row r="84" spans="1:8" ht="14.1" customHeight="1" x14ac:dyDescent="0.25">
      <c r="A84" s="264" t="s">
        <v>921</v>
      </c>
      <c r="B84" s="264"/>
      <c r="C84" s="274" t="s">
        <v>877</v>
      </c>
      <c r="D84" s="265" t="s">
        <v>878</v>
      </c>
      <c r="E84" s="265" t="s">
        <v>922</v>
      </c>
      <c r="F84" s="275">
        <v>196767.35999999999</v>
      </c>
      <c r="G84" s="275">
        <v>157413.09</v>
      </c>
      <c r="H84" s="275">
        <v>39354.269999999997</v>
      </c>
    </row>
    <row r="85" spans="1:8" ht="14.1" customHeight="1" x14ac:dyDescent="0.25">
      <c r="A85" s="264" t="s">
        <v>923</v>
      </c>
      <c r="B85" s="264"/>
      <c r="C85" s="274" t="s">
        <v>924</v>
      </c>
      <c r="D85" s="265" t="s">
        <v>925</v>
      </c>
      <c r="E85" s="265" t="s">
        <v>790</v>
      </c>
      <c r="F85" s="275">
        <v>79296</v>
      </c>
      <c r="G85" s="275">
        <v>7929.5</v>
      </c>
      <c r="H85" s="275">
        <v>71366.5</v>
      </c>
    </row>
    <row r="86" spans="1:8" ht="14.1" customHeight="1" x14ac:dyDescent="0.25">
      <c r="A86" s="264" t="s">
        <v>926</v>
      </c>
      <c r="B86" s="264"/>
      <c r="C86" s="274" t="s">
        <v>927</v>
      </c>
      <c r="D86" s="265" t="s">
        <v>928</v>
      </c>
      <c r="E86" s="265" t="s">
        <v>929</v>
      </c>
      <c r="F86" s="275">
        <v>22350</v>
      </c>
      <c r="G86" s="275">
        <v>22349</v>
      </c>
      <c r="H86" s="276">
        <v>1</v>
      </c>
    </row>
    <row r="87" spans="1:8" ht="14.1" customHeight="1" x14ac:dyDescent="0.25">
      <c r="A87" s="264" t="s">
        <v>930</v>
      </c>
      <c r="B87" s="264"/>
      <c r="C87" s="274" t="s">
        <v>915</v>
      </c>
      <c r="D87" s="265" t="s">
        <v>858</v>
      </c>
      <c r="E87" s="265" t="s">
        <v>917</v>
      </c>
      <c r="F87" s="275">
        <v>11500</v>
      </c>
      <c r="G87" s="275">
        <v>11499</v>
      </c>
      <c r="H87" s="276">
        <v>1</v>
      </c>
    </row>
    <row r="88" spans="1:8" ht="14.1" customHeight="1" x14ac:dyDescent="0.25">
      <c r="A88" s="264" t="s">
        <v>931</v>
      </c>
      <c r="B88" s="264"/>
      <c r="C88" s="274" t="s">
        <v>870</v>
      </c>
      <c r="D88" s="265" t="s">
        <v>756</v>
      </c>
      <c r="E88" s="265" t="s">
        <v>871</v>
      </c>
      <c r="F88" s="275">
        <v>2301</v>
      </c>
      <c r="G88" s="275">
        <v>1597.22</v>
      </c>
      <c r="H88" s="276">
        <v>703.78</v>
      </c>
    </row>
    <row r="89" spans="1:8" ht="14.1" customHeight="1" x14ac:dyDescent="0.25">
      <c r="A89" s="264" t="s">
        <v>932</v>
      </c>
      <c r="B89" s="264"/>
      <c r="C89" s="274" t="s">
        <v>933</v>
      </c>
      <c r="D89" s="265" t="s">
        <v>878</v>
      </c>
      <c r="E89" s="265" t="s">
        <v>922</v>
      </c>
      <c r="F89" s="275">
        <v>371576.32000000001</v>
      </c>
      <c r="G89" s="275">
        <v>297260.26</v>
      </c>
      <c r="H89" s="275">
        <v>74316.06</v>
      </c>
    </row>
    <row r="90" spans="1:8" ht="14.1" customHeight="1" x14ac:dyDescent="0.25">
      <c r="A90" s="264" t="s">
        <v>934</v>
      </c>
      <c r="B90" s="264"/>
      <c r="C90" s="274" t="s">
        <v>935</v>
      </c>
      <c r="D90" s="265" t="s">
        <v>936</v>
      </c>
      <c r="E90" s="265" t="s">
        <v>937</v>
      </c>
      <c r="F90" s="275">
        <v>11310</v>
      </c>
      <c r="G90" s="275">
        <v>11309</v>
      </c>
      <c r="H90" s="276">
        <v>1</v>
      </c>
    </row>
    <row r="91" spans="1:8" ht="14.1" customHeight="1" x14ac:dyDescent="0.25">
      <c r="A91" s="264" t="s">
        <v>938</v>
      </c>
      <c r="B91" s="264"/>
      <c r="C91" s="274" t="s">
        <v>939</v>
      </c>
      <c r="D91" s="265" t="s">
        <v>862</v>
      </c>
      <c r="E91" s="265" t="s">
        <v>899</v>
      </c>
      <c r="F91" s="275">
        <v>59000</v>
      </c>
      <c r="G91" s="275">
        <v>2458.29</v>
      </c>
      <c r="H91" s="275">
        <v>56541.71</v>
      </c>
    </row>
    <row r="92" spans="1:8" ht="14.1" customHeight="1" x14ac:dyDescent="0.25">
      <c r="A92" s="264" t="s">
        <v>940</v>
      </c>
      <c r="B92" s="264"/>
      <c r="C92" s="274" t="s">
        <v>941</v>
      </c>
      <c r="D92" s="265" t="s">
        <v>862</v>
      </c>
      <c r="E92" s="265" t="s">
        <v>899</v>
      </c>
      <c r="F92" s="275">
        <v>277300</v>
      </c>
      <c r="G92" s="275">
        <v>23108.25</v>
      </c>
      <c r="H92" s="275">
        <v>254191.75</v>
      </c>
    </row>
    <row r="93" spans="1:8" ht="14.1" customHeight="1" x14ac:dyDescent="0.25">
      <c r="A93" s="264" t="s">
        <v>942</v>
      </c>
      <c r="B93" s="264"/>
      <c r="C93" s="274" t="s">
        <v>933</v>
      </c>
      <c r="D93" s="265" t="s">
        <v>878</v>
      </c>
      <c r="E93" s="265" t="s">
        <v>922</v>
      </c>
      <c r="F93" s="275">
        <v>371576.32000000001</v>
      </c>
      <c r="G93" s="275">
        <v>297260.26</v>
      </c>
      <c r="H93" s="275">
        <v>74316.06</v>
      </c>
    </row>
    <row r="94" spans="1:8" ht="14.1" customHeight="1" x14ac:dyDescent="0.25">
      <c r="A94" s="264" t="s">
        <v>943</v>
      </c>
      <c r="B94" s="264"/>
      <c r="C94" s="274" t="s">
        <v>881</v>
      </c>
      <c r="D94" s="265" t="s">
        <v>882</v>
      </c>
      <c r="E94" s="265" t="s">
        <v>883</v>
      </c>
      <c r="F94" s="275">
        <v>14514</v>
      </c>
      <c r="G94" s="275">
        <v>14513</v>
      </c>
      <c r="H94" s="276">
        <v>1</v>
      </c>
    </row>
    <row r="95" spans="1:8" ht="14.1" customHeight="1" x14ac:dyDescent="0.25">
      <c r="A95" s="264" t="s">
        <v>944</v>
      </c>
      <c r="B95" s="264"/>
      <c r="C95" s="274" t="s">
        <v>881</v>
      </c>
      <c r="D95" s="265" t="s">
        <v>882</v>
      </c>
      <c r="E95" s="265" t="s">
        <v>883</v>
      </c>
      <c r="F95" s="275">
        <v>14514</v>
      </c>
      <c r="G95" s="275">
        <v>14513</v>
      </c>
      <c r="H95" s="276">
        <v>1</v>
      </c>
    </row>
    <row r="96" spans="1:8" ht="14.1" customHeight="1" x14ac:dyDescent="0.25">
      <c r="A96" s="264" t="s">
        <v>945</v>
      </c>
      <c r="B96" s="264"/>
      <c r="C96" s="274" t="s">
        <v>895</v>
      </c>
      <c r="D96" s="265" t="s">
        <v>896</v>
      </c>
      <c r="E96" s="265" t="s">
        <v>883</v>
      </c>
      <c r="F96" s="275">
        <v>2428.84</v>
      </c>
      <c r="G96" s="275">
        <v>2427.84</v>
      </c>
      <c r="H96" s="276">
        <v>1</v>
      </c>
    </row>
    <row r="97" spans="1:8" ht="14.1" customHeight="1" x14ac:dyDescent="0.25">
      <c r="A97" s="264" t="s">
        <v>946</v>
      </c>
      <c r="B97" s="264"/>
      <c r="C97" s="274" t="s">
        <v>947</v>
      </c>
      <c r="D97" s="265" t="s">
        <v>862</v>
      </c>
      <c r="E97" s="265" t="s">
        <v>899</v>
      </c>
      <c r="F97" s="275">
        <v>277300</v>
      </c>
      <c r="G97" s="275">
        <v>23108.25</v>
      </c>
      <c r="H97" s="275">
        <v>254191.75</v>
      </c>
    </row>
    <row r="98" spans="1:8" ht="21.2" customHeight="1" x14ac:dyDescent="0.25">
      <c r="A98" s="264" t="s">
        <v>948</v>
      </c>
      <c r="B98" s="264"/>
      <c r="C98" s="274" t="s">
        <v>949</v>
      </c>
      <c r="D98" s="265" t="s">
        <v>950</v>
      </c>
      <c r="E98" s="265" t="s">
        <v>951</v>
      </c>
      <c r="F98" s="275">
        <v>46374</v>
      </c>
      <c r="G98" s="275">
        <v>6569.51</v>
      </c>
      <c r="H98" s="275">
        <v>39804.49</v>
      </c>
    </row>
    <row r="99" spans="1:8" ht="21.2" customHeight="1" x14ac:dyDescent="0.25">
      <c r="A99" s="268" t="s">
        <v>952</v>
      </c>
      <c r="B99" s="268"/>
      <c r="C99" s="268"/>
      <c r="D99" s="268"/>
      <c r="E99" s="268"/>
      <c r="F99" s="277">
        <v>9636.35</v>
      </c>
      <c r="G99" s="279">
        <v>281.02999999999997</v>
      </c>
      <c r="H99" s="277">
        <v>9355.32</v>
      </c>
    </row>
    <row r="100" spans="1:8" ht="21.2" customHeight="1" x14ac:dyDescent="0.25">
      <c r="A100" s="264" t="s">
        <v>953</v>
      </c>
      <c r="B100" s="264"/>
      <c r="C100" s="274" t="s">
        <v>954</v>
      </c>
      <c r="D100" s="265" t="s">
        <v>955</v>
      </c>
      <c r="E100" s="265" t="s">
        <v>956</v>
      </c>
      <c r="F100" s="275">
        <v>9636.35</v>
      </c>
      <c r="G100" s="276">
        <v>281.02999999999997</v>
      </c>
      <c r="H100" s="275">
        <v>9355.32</v>
      </c>
    </row>
    <row r="101" spans="1:8" ht="21.2" customHeight="1" x14ac:dyDescent="0.25">
      <c r="A101" s="268" t="s">
        <v>957</v>
      </c>
      <c r="B101" s="268"/>
      <c r="C101" s="268"/>
      <c r="D101" s="268"/>
      <c r="E101" s="268"/>
      <c r="F101" s="277">
        <v>130195.19</v>
      </c>
      <c r="G101" s="277">
        <v>29518.61</v>
      </c>
      <c r="H101" s="277">
        <v>100676.58</v>
      </c>
    </row>
    <row r="102" spans="1:8" ht="14.1" customHeight="1" x14ac:dyDescent="0.25">
      <c r="A102" s="264" t="s">
        <v>958</v>
      </c>
      <c r="B102" s="264"/>
      <c r="C102" s="274" t="s">
        <v>959</v>
      </c>
      <c r="D102" s="265" t="s">
        <v>960</v>
      </c>
      <c r="E102" s="265" t="s">
        <v>961</v>
      </c>
      <c r="F102" s="275">
        <v>4800</v>
      </c>
      <c r="G102" s="276">
        <v>719.85</v>
      </c>
      <c r="H102" s="275">
        <v>4080.15</v>
      </c>
    </row>
    <row r="103" spans="1:8" ht="14.1" customHeight="1" x14ac:dyDescent="0.25">
      <c r="A103" s="264" t="s">
        <v>962</v>
      </c>
      <c r="B103" s="264"/>
      <c r="C103" s="274" t="s">
        <v>963</v>
      </c>
      <c r="D103" s="265" t="s">
        <v>964</v>
      </c>
      <c r="E103" s="265" t="s">
        <v>965</v>
      </c>
      <c r="F103" s="275">
        <v>3787.34</v>
      </c>
      <c r="G103" s="276">
        <v>410.19</v>
      </c>
      <c r="H103" s="275">
        <v>3377.15</v>
      </c>
    </row>
    <row r="104" spans="1:8" ht="14.1" customHeight="1" x14ac:dyDescent="0.25">
      <c r="A104" s="264" t="s">
        <v>966</v>
      </c>
      <c r="B104" s="264"/>
      <c r="C104" s="274" t="s">
        <v>967</v>
      </c>
      <c r="D104" s="265" t="s">
        <v>960</v>
      </c>
      <c r="E104" s="265" t="s">
        <v>961</v>
      </c>
      <c r="F104" s="275">
        <v>4800</v>
      </c>
      <c r="G104" s="276">
        <v>719.85</v>
      </c>
      <c r="H104" s="275">
        <v>4080.15</v>
      </c>
    </row>
    <row r="105" spans="1:8" ht="14.1" customHeight="1" x14ac:dyDescent="0.25">
      <c r="A105" s="264" t="s">
        <v>968</v>
      </c>
      <c r="B105" s="264"/>
      <c r="C105" s="274" t="s">
        <v>959</v>
      </c>
      <c r="D105" s="265" t="s">
        <v>960</v>
      </c>
      <c r="E105" s="265" t="s">
        <v>961</v>
      </c>
      <c r="F105" s="275">
        <v>4800</v>
      </c>
      <c r="G105" s="276">
        <v>719.85</v>
      </c>
      <c r="H105" s="275">
        <v>4080.15</v>
      </c>
    </row>
    <row r="106" spans="1:8" ht="14.1" customHeight="1" x14ac:dyDescent="0.25">
      <c r="A106" s="264" t="s">
        <v>969</v>
      </c>
      <c r="B106" s="264"/>
      <c r="C106" s="274" t="s">
        <v>970</v>
      </c>
      <c r="D106" s="265" t="s">
        <v>971</v>
      </c>
      <c r="E106" s="265" t="s">
        <v>972</v>
      </c>
      <c r="F106" s="275">
        <v>91045.83</v>
      </c>
      <c r="G106" s="275">
        <v>24278.62</v>
      </c>
      <c r="H106" s="275">
        <v>66767.210000000006</v>
      </c>
    </row>
    <row r="107" spans="1:8" ht="14.1" customHeight="1" x14ac:dyDescent="0.25">
      <c r="A107" s="264" t="s">
        <v>973</v>
      </c>
      <c r="B107" s="264"/>
      <c r="C107" s="274" t="s">
        <v>963</v>
      </c>
      <c r="D107" s="265" t="s">
        <v>964</v>
      </c>
      <c r="E107" s="265" t="s">
        <v>965</v>
      </c>
      <c r="F107" s="275">
        <v>3787.34</v>
      </c>
      <c r="G107" s="276">
        <v>410.19</v>
      </c>
      <c r="H107" s="275">
        <v>3377.15</v>
      </c>
    </row>
    <row r="108" spans="1:8" ht="14.1" customHeight="1" x14ac:dyDescent="0.25">
      <c r="A108" s="264" t="s">
        <v>974</v>
      </c>
      <c r="B108" s="264"/>
      <c r="C108" s="274" t="s">
        <v>959</v>
      </c>
      <c r="D108" s="265" t="s">
        <v>960</v>
      </c>
      <c r="E108" s="265" t="s">
        <v>961</v>
      </c>
      <c r="F108" s="275">
        <v>4800</v>
      </c>
      <c r="G108" s="276">
        <v>719.85</v>
      </c>
      <c r="H108" s="275">
        <v>4080.15</v>
      </c>
    </row>
    <row r="109" spans="1:8" ht="14.1" customHeight="1" x14ac:dyDescent="0.25">
      <c r="A109" s="264" t="s">
        <v>975</v>
      </c>
      <c r="B109" s="264"/>
      <c r="C109" s="274" t="s">
        <v>963</v>
      </c>
      <c r="D109" s="265" t="s">
        <v>964</v>
      </c>
      <c r="E109" s="265" t="s">
        <v>965</v>
      </c>
      <c r="F109" s="275">
        <v>3787.34</v>
      </c>
      <c r="G109" s="276">
        <v>410.19</v>
      </c>
      <c r="H109" s="275">
        <v>3377.15</v>
      </c>
    </row>
    <row r="110" spans="1:8" ht="14.1" customHeight="1" x14ac:dyDescent="0.25">
      <c r="A110" s="264" t="s">
        <v>976</v>
      </c>
      <c r="B110" s="264"/>
      <c r="C110" s="274" t="s">
        <v>959</v>
      </c>
      <c r="D110" s="265" t="s">
        <v>960</v>
      </c>
      <c r="E110" s="265" t="s">
        <v>961</v>
      </c>
      <c r="F110" s="275">
        <v>4800</v>
      </c>
      <c r="G110" s="276">
        <v>719.85</v>
      </c>
      <c r="H110" s="275">
        <v>4080.15</v>
      </c>
    </row>
    <row r="111" spans="1:8" ht="21.2" customHeight="1" x14ac:dyDescent="0.25">
      <c r="A111" s="264" t="s">
        <v>977</v>
      </c>
      <c r="B111" s="264"/>
      <c r="C111" s="274" t="s">
        <v>963</v>
      </c>
      <c r="D111" s="265" t="s">
        <v>964</v>
      </c>
      <c r="E111" s="265" t="s">
        <v>965</v>
      </c>
      <c r="F111" s="275">
        <v>3787.34</v>
      </c>
      <c r="G111" s="276">
        <v>410.19</v>
      </c>
      <c r="H111" s="275">
        <v>3377.15</v>
      </c>
    </row>
    <row r="112" spans="1:8" ht="17.25" customHeight="1" x14ac:dyDescent="0.25">
      <c r="A112" s="268" t="s">
        <v>978</v>
      </c>
      <c r="B112" s="268"/>
      <c r="C112" s="268"/>
      <c r="D112" s="268"/>
      <c r="E112" s="268"/>
      <c r="F112" s="277">
        <v>22420</v>
      </c>
      <c r="G112" s="277">
        <v>10871.27</v>
      </c>
      <c r="H112" s="277">
        <v>11548.73</v>
      </c>
    </row>
    <row r="113" spans="1:8" ht="14.1" customHeight="1" x14ac:dyDescent="0.25">
      <c r="A113" s="264" t="s">
        <v>979</v>
      </c>
      <c r="B113" s="264"/>
      <c r="C113" s="274" t="s">
        <v>980</v>
      </c>
      <c r="D113" s="265" t="s">
        <v>981</v>
      </c>
      <c r="E113" s="265" t="s">
        <v>982</v>
      </c>
      <c r="F113" s="275">
        <v>4484</v>
      </c>
      <c r="G113" s="275">
        <v>2428.29</v>
      </c>
      <c r="H113" s="275">
        <v>2055.71</v>
      </c>
    </row>
    <row r="114" spans="1:8" ht="14.1" customHeight="1" x14ac:dyDescent="0.25">
      <c r="A114" s="270" t="s">
        <v>983</v>
      </c>
      <c r="B114" s="270"/>
      <c r="C114" s="271" t="s">
        <v>984</v>
      </c>
      <c r="D114" s="272" t="s">
        <v>985</v>
      </c>
      <c r="E114" s="272" t="s">
        <v>986</v>
      </c>
      <c r="F114" s="273">
        <v>4484</v>
      </c>
      <c r="G114" s="273">
        <v>2428.29</v>
      </c>
      <c r="H114" s="273">
        <v>2055.71</v>
      </c>
    </row>
    <row r="115" spans="1:8" ht="14.1" customHeight="1" x14ac:dyDescent="0.25">
      <c r="A115" s="264" t="s">
        <v>987</v>
      </c>
      <c r="B115" s="264"/>
      <c r="C115" s="274" t="s">
        <v>980</v>
      </c>
      <c r="D115" s="265" t="s">
        <v>981</v>
      </c>
      <c r="E115" s="265" t="s">
        <v>982</v>
      </c>
      <c r="F115" s="275">
        <v>4484</v>
      </c>
      <c r="G115" s="275">
        <v>2428.29</v>
      </c>
      <c r="H115" s="275">
        <v>2055.71</v>
      </c>
    </row>
    <row r="116" spans="1:8" ht="14.1" customHeight="1" x14ac:dyDescent="0.25">
      <c r="A116" s="264" t="s">
        <v>988</v>
      </c>
      <c r="B116" s="264"/>
      <c r="C116" s="274" t="s">
        <v>980</v>
      </c>
      <c r="D116" s="265" t="s">
        <v>922</v>
      </c>
      <c r="E116" s="265" t="s">
        <v>989</v>
      </c>
      <c r="F116" s="275">
        <v>4484</v>
      </c>
      <c r="G116" s="275">
        <v>1793.2</v>
      </c>
      <c r="H116" s="275">
        <v>2690.8</v>
      </c>
    </row>
    <row r="117" spans="1:8" ht="14.1" customHeight="1" x14ac:dyDescent="0.25">
      <c r="A117" s="264" t="s">
        <v>990</v>
      </c>
      <c r="B117" s="264"/>
      <c r="C117" s="274" t="s">
        <v>980</v>
      </c>
      <c r="D117" s="265" t="s">
        <v>922</v>
      </c>
      <c r="E117" s="265" t="s">
        <v>989</v>
      </c>
      <c r="F117" s="275">
        <v>4484</v>
      </c>
      <c r="G117" s="275">
        <v>1793.2</v>
      </c>
      <c r="H117" s="275">
        <v>2690.8</v>
      </c>
    </row>
    <row r="118" spans="1:8" ht="18" customHeight="1" x14ac:dyDescent="0.25">
      <c r="A118" s="268" t="s">
        <v>991</v>
      </c>
      <c r="B118" s="268"/>
      <c r="C118" s="268"/>
      <c r="D118" s="268"/>
      <c r="E118" s="268"/>
      <c r="F118" s="277">
        <v>7863375.6200000001</v>
      </c>
      <c r="G118" s="277">
        <v>6762865.3600000003</v>
      </c>
      <c r="H118" s="277">
        <v>1100510.26</v>
      </c>
    </row>
    <row r="119" spans="1:8" ht="14.1" customHeight="1" x14ac:dyDescent="0.25">
      <c r="A119" s="264" t="s">
        <v>992</v>
      </c>
      <c r="B119" s="264"/>
      <c r="C119" s="274" t="s">
        <v>993</v>
      </c>
      <c r="D119" s="265" t="s">
        <v>994</v>
      </c>
      <c r="E119" s="265" t="s">
        <v>883</v>
      </c>
      <c r="F119" s="275">
        <v>34810</v>
      </c>
      <c r="G119" s="275">
        <v>27847.200000000001</v>
      </c>
      <c r="H119" s="275">
        <v>6962.8</v>
      </c>
    </row>
    <row r="120" spans="1:8" ht="14.1" customHeight="1" x14ac:dyDescent="0.25">
      <c r="A120" s="264" t="s">
        <v>995</v>
      </c>
      <c r="B120" s="264"/>
      <c r="C120" s="274" t="s">
        <v>996</v>
      </c>
      <c r="D120" s="265" t="s">
        <v>896</v>
      </c>
      <c r="E120" s="265" t="s">
        <v>883</v>
      </c>
      <c r="F120" s="275">
        <v>209402.8</v>
      </c>
      <c r="G120" s="275">
        <v>209401.8</v>
      </c>
      <c r="H120" s="276">
        <v>1</v>
      </c>
    </row>
    <row r="121" spans="1:8" ht="14.1" customHeight="1" x14ac:dyDescent="0.25">
      <c r="A121" s="264" t="s">
        <v>997</v>
      </c>
      <c r="B121" s="264"/>
      <c r="C121" s="274" t="s">
        <v>998</v>
      </c>
      <c r="D121" s="265" t="s">
        <v>999</v>
      </c>
      <c r="E121" s="265" t="s">
        <v>1000</v>
      </c>
      <c r="F121" s="275">
        <v>134251.1</v>
      </c>
      <c r="G121" s="275">
        <v>22375.02</v>
      </c>
      <c r="H121" s="275">
        <v>111876.08</v>
      </c>
    </row>
    <row r="122" spans="1:8" ht="14.1" customHeight="1" x14ac:dyDescent="0.25">
      <c r="A122" s="264" t="s">
        <v>1001</v>
      </c>
      <c r="B122" s="264"/>
      <c r="C122" s="274" t="s">
        <v>1002</v>
      </c>
      <c r="D122" s="265" t="s">
        <v>1003</v>
      </c>
      <c r="E122" s="265" t="s">
        <v>1004</v>
      </c>
      <c r="F122" s="275">
        <v>25016</v>
      </c>
      <c r="G122" s="275">
        <v>25015</v>
      </c>
      <c r="H122" s="276">
        <v>1</v>
      </c>
    </row>
    <row r="123" spans="1:8" ht="14.1" customHeight="1" x14ac:dyDescent="0.25">
      <c r="A123" s="264" t="s">
        <v>1005</v>
      </c>
      <c r="B123" s="264"/>
      <c r="C123" s="274" t="s">
        <v>1006</v>
      </c>
      <c r="D123" s="265" t="s">
        <v>782</v>
      </c>
      <c r="E123" s="265" t="s">
        <v>778</v>
      </c>
      <c r="F123" s="275">
        <v>6640</v>
      </c>
      <c r="G123" s="275">
        <v>6639</v>
      </c>
      <c r="H123" s="276">
        <v>1</v>
      </c>
    </row>
    <row r="124" spans="1:8" ht="14.1" customHeight="1" x14ac:dyDescent="0.25">
      <c r="A124" s="264" t="s">
        <v>1007</v>
      </c>
      <c r="B124" s="264"/>
      <c r="C124" s="274" t="s">
        <v>1008</v>
      </c>
      <c r="D124" s="265" t="s">
        <v>1009</v>
      </c>
      <c r="E124" s="265" t="s">
        <v>1010</v>
      </c>
      <c r="F124" s="275">
        <v>10100</v>
      </c>
      <c r="G124" s="275">
        <v>8135.3</v>
      </c>
      <c r="H124" s="275">
        <v>1964.7</v>
      </c>
    </row>
    <row r="125" spans="1:8" ht="14.1" customHeight="1" x14ac:dyDescent="0.25">
      <c r="A125" s="264" t="s">
        <v>1011</v>
      </c>
      <c r="B125" s="264"/>
      <c r="C125" s="274" t="s">
        <v>1012</v>
      </c>
      <c r="D125" s="265" t="s">
        <v>756</v>
      </c>
      <c r="E125" s="265" t="s">
        <v>1013</v>
      </c>
      <c r="F125" s="275">
        <v>3540</v>
      </c>
      <c r="G125" s="275">
        <v>2457.64</v>
      </c>
      <c r="H125" s="275">
        <v>1082.3599999999999</v>
      </c>
    </row>
    <row r="126" spans="1:8" ht="14.1" customHeight="1" x14ac:dyDescent="0.25">
      <c r="A126" s="264" t="s">
        <v>1014</v>
      </c>
      <c r="B126" s="264"/>
      <c r="C126" s="274" t="s">
        <v>1015</v>
      </c>
      <c r="D126" s="265" t="s">
        <v>756</v>
      </c>
      <c r="E126" s="265" t="s">
        <v>1016</v>
      </c>
      <c r="F126" s="275">
        <v>3502.28</v>
      </c>
      <c r="G126" s="275">
        <v>2431.44</v>
      </c>
      <c r="H126" s="275">
        <v>1070.8399999999999</v>
      </c>
    </row>
    <row r="127" spans="1:8" ht="14.1" customHeight="1" x14ac:dyDescent="0.25">
      <c r="A127" s="264" t="s">
        <v>1017</v>
      </c>
      <c r="B127" s="264"/>
      <c r="C127" s="274" t="s">
        <v>1018</v>
      </c>
      <c r="D127" s="265" t="s">
        <v>1019</v>
      </c>
      <c r="E127" s="265" t="s">
        <v>1020</v>
      </c>
      <c r="F127" s="275">
        <v>3510.5</v>
      </c>
      <c r="G127" s="275">
        <v>2437.15</v>
      </c>
      <c r="H127" s="275">
        <v>1073.3499999999999</v>
      </c>
    </row>
    <row r="128" spans="1:8" ht="14.1" customHeight="1" x14ac:dyDescent="0.25">
      <c r="A128" s="264" t="s">
        <v>1021</v>
      </c>
      <c r="B128" s="264"/>
      <c r="C128" s="274" t="s">
        <v>1022</v>
      </c>
      <c r="D128" s="265" t="s">
        <v>981</v>
      </c>
      <c r="E128" s="265" t="s">
        <v>1023</v>
      </c>
      <c r="F128" s="275">
        <v>28499.9</v>
      </c>
      <c r="G128" s="275">
        <v>28498.9</v>
      </c>
      <c r="H128" s="276">
        <v>1</v>
      </c>
    </row>
    <row r="129" spans="1:8" ht="14.1" customHeight="1" x14ac:dyDescent="0.25">
      <c r="A129" s="264" t="s">
        <v>1024</v>
      </c>
      <c r="B129" s="264"/>
      <c r="C129" s="274" t="s">
        <v>1025</v>
      </c>
      <c r="D129" s="265" t="s">
        <v>1026</v>
      </c>
      <c r="E129" s="265" t="s">
        <v>1027</v>
      </c>
      <c r="F129" s="275">
        <v>8318</v>
      </c>
      <c r="G129" s="275">
        <v>8317</v>
      </c>
      <c r="H129" s="276">
        <v>1</v>
      </c>
    </row>
    <row r="130" spans="1:8" ht="14.1" customHeight="1" x14ac:dyDescent="0.25">
      <c r="A130" s="264" t="s">
        <v>1028</v>
      </c>
      <c r="B130" s="264"/>
      <c r="C130" s="274" t="s">
        <v>1029</v>
      </c>
      <c r="D130" s="265" t="s">
        <v>1026</v>
      </c>
      <c r="E130" s="265" t="s">
        <v>1027</v>
      </c>
      <c r="F130" s="275">
        <v>6000.01</v>
      </c>
      <c r="G130" s="275">
        <v>5999.01</v>
      </c>
      <c r="H130" s="276">
        <v>1</v>
      </c>
    </row>
    <row r="131" spans="1:8" ht="14.1" customHeight="1" x14ac:dyDescent="0.25">
      <c r="A131" s="264" t="s">
        <v>1030</v>
      </c>
      <c r="B131" s="264"/>
      <c r="C131" s="274" t="s">
        <v>1031</v>
      </c>
      <c r="D131" s="265" t="s">
        <v>1032</v>
      </c>
      <c r="E131" s="265" t="s">
        <v>1027</v>
      </c>
      <c r="F131" s="275">
        <v>2935</v>
      </c>
      <c r="G131" s="275">
        <v>2934</v>
      </c>
      <c r="H131" s="276">
        <v>1</v>
      </c>
    </row>
    <row r="132" spans="1:8" ht="14.1" customHeight="1" x14ac:dyDescent="0.25">
      <c r="A132" s="264" t="s">
        <v>1033</v>
      </c>
      <c r="B132" s="264"/>
      <c r="C132" s="274" t="s">
        <v>1034</v>
      </c>
      <c r="D132" s="265" t="s">
        <v>1032</v>
      </c>
      <c r="E132" s="265" t="s">
        <v>1027</v>
      </c>
      <c r="F132" s="275">
        <v>13620</v>
      </c>
      <c r="G132" s="275">
        <v>13619</v>
      </c>
      <c r="H132" s="276">
        <v>1</v>
      </c>
    </row>
    <row r="133" spans="1:8" ht="14.1" customHeight="1" x14ac:dyDescent="0.25">
      <c r="A133" s="264" t="s">
        <v>1035</v>
      </c>
      <c r="B133" s="264"/>
      <c r="C133" s="274" t="s">
        <v>1036</v>
      </c>
      <c r="D133" s="265" t="s">
        <v>1037</v>
      </c>
      <c r="E133" s="265" t="s">
        <v>1027</v>
      </c>
      <c r="F133" s="276">
        <v>480</v>
      </c>
      <c r="G133" s="276">
        <v>479</v>
      </c>
      <c r="H133" s="276">
        <v>1</v>
      </c>
    </row>
    <row r="134" spans="1:8" ht="14.1" customHeight="1" x14ac:dyDescent="0.25">
      <c r="A134" s="264" t="s">
        <v>1038</v>
      </c>
      <c r="B134" s="264"/>
      <c r="C134" s="274" t="s">
        <v>1022</v>
      </c>
      <c r="D134" s="265" t="s">
        <v>916</v>
      </c>
      <c r="E134" s="265" t="s">
        <v>1039</v>
      </c>
      <c r="F134" s="275">
        <v>33100</v>
      </c>
      <c r="G134" s="275">
        <v>33099</v>
      </c>
      <c r="H134" s="276">
        <v>1</v>
      </c>
    </row>
    <row r="135" spans="1:8" ht="14.1" customHeight="1" x14ac:dyDescent="0.25">
      <c r="A135" s="264" t="s">
        <v>1040</v>
      </c>
      <c r="B135" s="264"/>
      <c r="C135" s="274" t="s">
        <v>1041</v>
      </c>
      <c r="D135" s="265" t="s">
        <v>1042</v>
      </c>
      <c r="E135" s="265" t="s">
        <v>1043</v>
      </c>
      <c r="F135" s="275">
        <v>52274</v>
      </c>
      <c r="G135" s="275">
        <v>52273</v>
      </c>
      <c r="H135" s="276">
        <v>1</v>
      </c>
    </row>
    <row r="136" spans="1:8" ht="14.1" customHeight="1" x14ac:dyDescent="0.25">
      <c r="A136" s="264" t="s">
        <v>1044</v>
      </c>
      <c r="B136" s="264"/>
      <c r="C136" s="274" t="s">
        <v>1045</v>
      </c>
      <c r="D136" s="265" t="s">
        <v>1042</v>
      </c>
      <c r="E136" s="265" t="s">
        <v>1043</v>
      </c>
      <c r="F136" s="275">
        <v>14986</v>
      </c>
      <c r="G136" s="275">
        <v>14985</v>
      </c>
      <c r="H136" s="276">
        <v>1</v>
      </c>
    </row>
    <row r="137" spans="1:8" ht="14.1" customHeight="1" x14ac:dyDescent="0.25">
      <c r="A137" s="264" t="s">
        <v>1046</v>
      </c>
      <c r="B137" s="264"/>
      <c r="C137" s="274" t="s">
        <v>1047</v>
      </c>
      <c r="D137" s="265" t="s">
        <v>1048</v>
      </c>
      <c r="E137" s="265" t="s">
        <v>1049</v>
      </c>
      <c r="F137" s="275">
        <v>5723</v>
      </c>
      <c r="G137" s="275">
        <v>5722</v>
      </c>
      <c r="H137" s="276">
        <v>1</v>
      </c>
    </row>
    <row r="138" spans="1:8" ht="14.1" customHeight="1" x14ac:dyDescent="0.25">
      <c r="A138" s="264" t="s">
        <v>1050</v>
      </c>
      <c r="B138" s="264"/>
      <c r="C138" s="274" t="s">
        <v>1051</v>
      </c>
      <c r="D138" s="265" t="s">
        <v>928</v>
      </c>
      <c r="E138" s="265" t="s">
        <v>929</v>
      </c>
      <c r="F138" s="275">
        <v>30861.07</v>
      </c>
      <c r="G138" s="275">
        <v>30860.07</v>
      </c>
      <c r="H138" s="276">
        <v>1</v>
      </c>
    </row>
    <row r="139" spans="1:8" ht="14.1" customHeight="1" x14ac:dyDescent="0.25">
      <c r="A139" s="264" t="s">
        <v>1052</v>
      </c>
      <c r="B139" s="264"/>
      <c r="C139" s="274" t="s">
        <v>1002</v>
      </c>
      <c r="D139" s="265" t="s">
        <v>928</v>
      </c>
      <c r="E139" s="265" t="s">
        <v>929</v>
      </c>
      <c r="F139" s="275">
        <v>3929.4</v>
      </c>
      <c r="G139" s="275">
        <v>3928.4</v>
      </c>
      <c r="H139" s="276">
        <v>1</v>
      </c>
    </row>
    <row r="140" spans="1:8" ht="14.1" customHeight="1" x14ac:dyDescent="0.25">
      <c r="A140" s="264" t="s">
        <v>1053</v>
      </c>
      <c r="B140" s="264"/>
      <c r="C140" s="274" t="s">
        <v>1051</v>
      </c>
      <c r="D140" s="265" t="s">
        <v>928</v>
      </c>
      <c r="E140" s="265" t="s">
        <v>929</v>
      </c>
      <c r="F140" s="275">
        <v>30861.07</v>
      </c>
      <c r="G140" s="275">
        <v>30860.07</v>
      </c>
      <c r="H140" s="276">
        <v>1</v>
      </c>
    </row>
    <row r="141" spans="1:8" ht="14.1" customHeight="1" x14ac:dyDescent="0.25">
      <c r="A141" s="264" t="s">
        <v>1054</v>
      </c>
      <c r="B141" s="264"/>
      <c r="C141" s="274" t="s">
        <v>1051</v>
      </c>
      <c r="D141" s="265" t="s">
        <v>928</v>
      </c>
      <c r="E141" s="265" t="s">
        <v>929</v>
      </c>
      <c r="F141" s="275">
        <v>32709</v>
      </c>
      <c r="G141" s="275">
        <v>32708</v>
      </c>
      <c r="H141" s="276">
        <v>1</v>
      </c>
    </row>
    <row r="142" spans="1:8" ht="14.1" customHeight="1" x14ac:dyDescent="0.25">
      <c r="A142" s="264" t="s">
        <v>1055</v>
      </c>
      <c r="B142" s="264"/>
      <c r="C142" s="274" t="s">
        <v>1051</v>
      </c>
      <c r="D142" s="265" t="s">
        <v>928</v>
      </c>
      <c r="E142" s="265" t="s">
        <v>929</v>
      </c>
      <c r="F142" s="275">
        <v>31029</v>
      </c>
      <c r="G142" s="275">
        <v>31028</v>
      </c>
      <c r="H142" s="276">
        <v>1</v>
      </c>
    </row>
    <row r="143" spans="1:8" ht="14.1" customHeight="1" x14ac:dyDescent="0.25">
      <c r="A143" s="264" t="s">
        <v>1056</v>
      </c>
      <c r="B143" s="264"/>
      <c r="C143" s="274" t="s">
        <v>1057</v>
      </c>
      <c r="D143" s="265" t="s">
        <v>928</v>
      </c>
      <c r="E143" s="265" t="s">
        <v>929</v>
      </c>
      <c r="F143" s="275">
        <v>29500</v>
      </c>
      <c r="G143" s="275">
        <v>29499</v>
      </c>
      <c r="H143" s="276">
        <v>1</v>
      </c>
    </row>
    <row r="144" spans="1:8" ht="14.1" customHeight="1" x14ac:dyDescent="0.25">
      <c r="A144" s="264" t="s">
        <v>1058</v>
      </c>
      <c r="B144" s="264"/>
      <c r="C144" s="274" t="s">
        <v>1059</v>
      </c>
      <c r="D144" s="265" t="s">
        <v>1060</v>
      </c>
      <c r="E144" s="265" t="s">
        <v>1061</v>
      </c>
      <c r="F144" s="275">
        <v>2500</v>
      </c>
      <c r="G144" s="275">
        <v>2499</v>
      </c>
      <c r="H144" s="276">
        <v>1</v>
      </c>
    </row>
    <row r="145" spans="1:8" ht="14.1" customHeight="1" x14ac:dyDescent="0.25">
      <c r="A145" s="264" t="s">
        <v>1062</v>
      </c>
      <c r="B145" s="264"/>
      <c r="C145" s="274" t="s">
        <v>1063</v>
      </c>
      <c r="D145" s="265" t="s">
        <v>1064</v>
      </c>
      <c r="E145" s="265" t="s">
        <v>1065</v>
      </c>
      <c r="F145" s="275">
        <v>40031.5</v>
      </c>
      <c r="G145" s="275">
        <v>33358.75</v>
      </c>
      <c r="H145" s="275">
        <v>6672.75</v>
      </c>
    </row>
    <row r="146" spans="1:8" ht="14.1" customHeight="1" x14ac:dyDescent="0.25">
      <c r="A146" s="264" t="s">
        <v>1066</v>
      </c>
      <c r="B146" s="264"/>
      <c r="C146" s="274" t="s">
        <v>1067</v>
      </c>
      <c r="D146" s="265" t="s">
        <v>1068</v>
      </c>
      <c r="E146" s="265" t="s">
        <v>1010</v>
      </c>
      <c r="F146" s="275">
        <v>74300</v>
      </c>
      <c r="G146" s="275">
        <v>59851.97</v>
      </c>
      <c r="H146" s="275">
        <v>14448.03</v>
      </c>
    </row>
    <row r="147" spans="1:8" ht="14.1" customHeight="1" x14ac:dyDescent="0.25">
      <c r="A147" s="264" t="s">
        <v>1069</v>
      </c>
      <c r="B147" s="264"/>
      <c r="C147" s="274" t="s">
        <v>935</v>
      </c>
      <c r="D147" s="265" t="s">
        <v>858</v>
      </c>
      <c r="E147" s="265" t="s">
        <v>808</v>
      </c>
      <c r="F147" s="275">
        <v>12740</v>
      </c>
      <c r="G147" s="275">
        <v>12739</v>
      </c>
      <c r="H147" s="276">
        <v>1</v>
      </c>
    </row>
    <row r="148" spans="1:8" ht="14.1" customHeight="1" x14ac:dyDescent="0.25">
      <c r="A148" s="264" t="s">
        <v>1070</v>
      </c>
      <c r="B148" s="264"/>
      <c r="C148" s="274" t="s">
        <v>1071</v>
      </c>
      <c r="D148" s="265" t="s">
        <v>756</v>
      </c>
      <c r="E148" s="265" t="s">
        <v>1013</v>
      </c>
      <c r="F148" s="275">
        <v>5310</v>
      </c>
      <c r="G148" s="275">
        <v>3686.81</v>
      </c>
      <c r="H148" s="275">
        <v>1623.2</v>
      </c>
    </row>
    <row r="149" spans="1:8" ht="14.1" customHeight="1" x14ac:dyDescent="0.25">
      <c r="A149" s="264" t="s">
        <v>1072</v>
      </c>
      <c r="B149" s="264"/>
      <c r="C149" s="274" t="s">
        <v>1015</v>
      </c>
      <c r="D149" s="265" t="s">
        <v>756</v>
      </c>
      <c r="E149" s="265" t="s">
        <v>1016</v>
      </c>
      <c r="F149" s="275">
        <v>3502.28</v>
      </c>
      <c r="G149" s="275">
        <v>2431.44</v>
      </c>
      <c r="H149" s="275">
        <v>1070.8399999999999</v>
      </c>
    </row>
    <row r="150" spans="1:8" ht="14.1" customHeight="1" x14ac:dyDescent="0.25">
      <c r="A150" s="264" t="s">
        <v>1073</v>
      </c>
      <c r="B150" s="264"/>
      <c r="C150" s="274" t="s">
        <v>1074</v>
      </c>
      <c r="D150" s="265" t="s">
        <v>1019</v>
      </c>
      <c r="E150" s="265" t="s">
        <v>1020</v>
      </c>
      <c r="F150" s="275">
        <v>8018.1</v>
      </c>
      <c r="G150" s="275">
        <v>5567.43</v>
      </c>
      <c r="H150" s="275">
        <v>2450.67</v>
      </c>
    </row>
    <row r="151" spans="1:8" ht="14.1" customHeight="1" x14ac:dyDescent="0.25">
      <c r="A151" s="264" t="s">
        <v>1075</v>
      </c>
      <c r="B151" s="264"/>
      <c r="C151" s="274" t="s">
        <v>1076</v>
      </c>
      <c r="D151" s="265" t="s">
        <v>1019</v>
      </c>
      <c r="E151" s="265" t="s">
        <v>1020</v>
      </c>
      <c r="F151" s="275">
        <v>5310</v>
      </c>
      <c r="G151" s="275">
        <v>3686.81</v>
      </c>
      <c r="H151" s="275">
        <v>1623.2</v>
      </c>
    </row>
    <row r="152" spans="1:8" s="280" customFormat="1" ht="14.1" customHeight="1" x14ac:dyDescent="0.25">
      <c r="A152" s="270" t="s">
        <v>1077</v>
      </c>
      <c r="B152" s="270"/>
      <c r="C152" s="270" t="s">
        <v>1078</v>
      </c>
      <c r="D152" s="272" t="s">
        <v>1079</v>
      </c>
      <c r="E152" s="272" t="s">
        <v>1080</v>
      </c>
      <c r="F152" s="273">
        <v>101200</v>
      </c>
      <c r="G152" s="273">
        <v>101199</v>
      </c>
      <c r="H152" s="278">
        <v>1</v>
      </c>
    </row>
    <row r="153" spans="1:8" ht="14.1" customHeight="1" x14ac:dyDescent="0.25">
      <c r="A153" s="264" t="s">
        <v>1081</v>
      </c>
      <c r="B153" s="264"/>
      <c r="C153" s="264" t="s">
        <v>1025</v>
      </c>
      <c r="D153" s="265" t="s">
        <v>1026</v>
      </c>
      <c r="E153" s="265" t="s">
        <v>1027</v>
      </c>
      <c r="F153" s="275">
        <v>8318</v>
      </c>
      <c r="G153" s="275">
        <v>8317</v>
      </c>
      <c r="H153" s="276">
        <v>1</v>
      </c>
    </row>
    <row r="154" spans="1:8" ht="14.1" customHeight="1" x14ac:dyDescent="0.25">
      <c r="A154" s="264" t="s">
        <v>1082</v>
      </c>
      <c r="B154" s="264"/>
      <c r="C154" s="264" t="s">
        <v>1083</v>
      </c>
      <c r="D154" s="265" t="s">
        <v>1026</v>
      </c>
      <c r="E154" s="265" t="s">
        <v>1027</v>
      </c>
      <c r="F154" s="275">
        <v>6000.01</v>
      </c>
      <c r="G154" s="275">
        <v>5999.01</v>
      </c>
      <c r="H154" s="276">
        <v>1</v>
      </c>
    </row>
    <row r="155" spans="1:8" ht="14.1" customHeight="1" x14ac:dyDescent="0.25">
      <c r="A155" s="264" t="s">
        <v>1084</v>
      </c>
      <c r="B155" s="264"/>
      <c r="C155" s="264" t="s">
        <v>1031</v>
      </c>
      <c r="D155" s="265" t="s">
        <v>1032</v>
      </c>
      <c r="E155" s="265" t="s">
        <v>1027</v>
      </c>
      <c r="F155" s="275">
        <v>2935</v>
      </c>
      <c r="G155" s="275">
        <v>2934</v>
      </c>
      <c r="H155" s="276">
        <v>1</v>
      </c>
    </row>
    <row r="156" spans="1:8" ht="14.1" customHeight="1" x14ac:dyDescent="0.25">
      <c r="A156" s="264" t="s">
        <v>1085</v>
      </c>
      <c r="B156" s="264"/>
      <c r="C156" s="264" t="s">
        <v>1034</v>
      </c>
      <c r="D156" s="265" t="s">
        <v>1032</v>
      </c>
      <c r="E156" s="265" t="s">
        <v>1027</v>
      </c>
      <c r="F156" s="275">
        <v>13620</v>
      </c>
      <c r="G156" s="275">
        <v>13619</v>
      </c>
      <c r="H156" s="276">
        <v>1</v>
      </c>
    </row>
    <row r="157" spans="1:8" ht="14.1" customHeight="1" x14ac:dyDescent="0.25">
      <c r="A157" s="264" t="s">
        <v>1086</v>
      </c>
      <c r="B157" s="264"/>
      <c r="C157" s="264" t="s">
        <v>1036</v>
      </c>
      <c r="D157" s="265" t="s">
        <v>1087</v>
      </c>
      <c r="E157" s="265" t="s">
        <v>1027</v>
      </c>
      <c r="F157" s="276">
        <v>480</v>
      </c>
      <c r="G157" s="276">
        <v>479</v>
      </c>
      <c r="H157" s="276">
        <v>1</v>
      </c>
    </row>
    <row r="158" spans="1:8" ht="14.1" customHeight="1" x14ac:dyDescent="0.25">
      <c r="A158" s="264" t="s">
        <v>1088</v>
      </c>
      <c r="B158" s="264"/>
      <c r="C158" s="264" t="s">
        <v>1089</v>
      </c>
      <c r="D158" s="265" t="s">
        <v>896</v>
      </c>
      <c r="E158" s="265" t="s">
        <v>883</v>
      </c>
      <c r="F158" s="275">
        <v>2354.1</v>
      </c>
      <c r="G158" s="275">
        <v>2353.1</v>
      </c>
      <c r="H158" s="276">
        <v>1</v>
      </c>
    </row>
    <row r="159" spans="1:8" ht="14.1" customHeight="1" x14ac:dyDescent="0.25">
      <c r="A159" s="264" t="s">
        <v>1090</v>
      </c>
      <c r="B159" s="264"/>
      <c r="C159" s="264" t="s">
        <v>1051</v>
      </c>
      <c r="D159" s="265" t="s">
        <v>928</v>
      </c>
      <c r="E159" s="265" t="s">
        <v>929</v>
      </c>
      <c r="F159" s="275">
        <v>30861.07</v>
      </c>
      <c r="G159" s="275">
        <v>30860.07</v>
      </c>
      <c r="H159" s="276">
        <v>1</v>
      </c>
    </row>
    <row r="160" spans="1:8" ht="14.1" customHeight="1" x14ac:dyDescent="0.25">
      <c r="A160" s="264" t="s">
        <v>1091</v>
      </c>
      <c r="B160" s="264"/>
      <c r="C160" s="264" t="s">
        <v>1051</v>
      </c>
      <c r="D160" s="265" t="s">
        <v>928</v>
      </c>
      <c r="E160" s="265" t="s">
        <v>929</v>
      </c>
      <c r="F160" s="275">
        <v>30861.07</v>
      </c>
      <c r="G160" s="275">
        <v>30860.07</v>
      </c>
      <c r="H160" s="276">
        <v>1</v>
      </c>
    </row>
    <row r="161" spans="1:8" ht="14.1" customHeight="1" x14ac:dyDescent="0.25">
      <c r="A161" s="264" t="s">
        <v>1092</v>
      </c>
      <c r="B161" s="264"/>
      <c r="C161" s="264" t="s">
        <v>1002</v>
      </c>
      <c r="D161" s="265" t="s">
        <v>928</v>
      </c>
      <c r="E161" s="265" t="s">
        <v>929</v>
      </c>
      <c r="F161" s="275">
        <v>3929.4</v>
      </c>
      <c r="G161" s="275">
        <v>3928.4</v>
      </c>
      <c r="H161" s="276">
        <v>1</v>
      </c>
    </row>
    <row r="162" spans="1:8" ht="14.1" customHeight="1" x14ac:dyDescent="0.25">
      <c r="A162" s="264" t="s">
        <v>1093</v>
      </c>
      <c r="B162" s="264"/>
      <c r="C162" s="264" t="s">
        <v>1094</v>
      </c>
      <c r="D162" s="265" t="s">
        <v>928</v>
      </c>
      <c r="E162" s="265" t="s">
        <v>929</v>
      </c>
      <c r="F162" s="275">
        <v>23412.73</v>
      </c>
      <c r="G162" s="275">
        <v>23411.73</v>
      </c>
      <c r="H162" s="276">
        <v>1</v>
      </c>
    </row>
    <row r="163" spans="1:8" ht="14.1" customHeight="1" x14ac:dyDescent="0.25">
      <c r="A163" s="264" t="s">
        <v>1095</v>
      </c>
      <c r="B163" s="264"/>
      <c r="C163" s="264" t="s">
        <v>1096</v>
      </c>
      <c r="D163" s="265" t="s">
        <v>767</v>
      </c>
      <c r="E163" s="265" t="s">
        <v>1097</v>
      </c>
      <c r="F163" s="275">
        <v>225498</v>
      </c>
      <c r="G163" s="275">
        <v>225497</v>
      </c>
      <c r="H163" s="276">
        <v>1</v>
      </c>
    </row>
    <row r="164" spans="1:8" ht="14.1" customHeight="1" x14ac:dyDescent="0.25">
      <c r="A164" s="264" t="s">
        <v>1098</v>
      </c>
      <c r="B164" s="264"/>
      <c r="C164" s="264" t="s">
        <v>1099</v>
      </c>
      <c r="D164" s="265" t="s">
        <v>1042</v>
      </c>
      <c r="E164" s="265" t="s">
        <v>1043</v>
      </c>
      <c r="F164" s="275">
        <v>83190</v>
      </c>
      <c r="G164" s="275">
        <v>83189</v>
      </c>
      <c r="H164" s="276">
        <v>1</v>
      </c>
    </row>
    <row r="165" spans="1:8" ht="14.1" customHeight="1" x14ac:dyDescent="0.25">
      <c r="A165" s="264" t="s">
        <v>1100</v>
      </c>
      <c r="B165" s="264"/>
      <c r="C165" s="264" t="s">
        <v>1101</v>
      </c>
      <c r="D165" s="265" t="s">
        <v>1102</v>
      </c>
      <c r="E165" s="265" t="s">
        <v>1103</v>
      </c>
      <c r="F165" s="275">
        <v>1344</v>
      </c>
      <c r="G165" s="276">
        <v>111.92</v>
      </c>
      <c r="H165" s="275">
        <v>1232.08</v>
      </c>
    </row>
    <row r="166" spans="1:8" ht="14.1" customHeight="1" x14ac:dyDescent="0.25">
      <c r="A166" s="264" t="s">
        <v>1104</v>
      </c>
      <c r="B166" s="264"/>
      <c r="C166" s="264" t="s">
        <v>1006</v>
      </c>
      <c r="D166" s="265" t="s">
        <v>782</v>
      </c>
      <c r="E166" s="265" t="s">
        <v>778</v>
      </c>
      <c r="F166" s="275">
        <v>6640</v>
      </c>
      <c r="G166" s="275">
        <v>6639</v>
      </c>
      <c r="H166" s="276">
        <v>1</v>
      </c>
    </row>
    <row r="167" spans="1:8" ht="14.1" customHeight="1" x14ac:dyDescent="0.25">
      <c r="A167" s="264" t="s">
        <v>1105</v>
      </c>
      <c r="B167" s="264"/>
      <c r="C167" s="264" t="s">
        <v>1106</v>
      </c>
      <c r="D167" s="265" t="s">
        <v>1026</v>
      </c>
      <c r="E167" s="265" t="s">
        <v>1027</v>
      </c>
      <c r="F167" s="275">
        <v>4010.01</v>
      </c>
      <c r="G167" s="275">
        <v>4009.01</v>
      </c>
      <c r="H167" s="276">
        <v>1</v>
      </c>
    </row>
    <row r="168" spans="1:8" ht="14.1" customHeight="1" x14ac:dyDescent="0.25">
      <c r="A168" s="264" t="s">
        <v>1107</v>
      </c>
      <c r="B168" s="264"/>
      <c r="C168" s="264" t="s">
        <v>1108</v>
      </c>
      <c r="D168" s="265" t="s">
        <v>1026</v>
      </c>
      <c r="E168" s="265" t="s">
        <v>1027</v>
      </c>
      <c r="F168" s="275">
        <v>7400</v>
      </c>
      <c r="G168" s="275">
        <v>7399</v>
      </c>
      <c r="H168" s="276">
        <v>1</v>
      </c>
    </row>
    <row r="169" spans="1:8" ht="14.1" customHeight="1" x14ac:dyDescent="0.25">
      <c r="A169" s="264" t="s">
        <v>1109</v>
      </c>
      <c r="B169" s="264"/>
      <c r="C169" s="264" t="s">
        <v>1031</v>
      </c>
      <c r="D169" s="265" t="s">
        <v>1032</v>
      </c>
      <c r="E169" s="265" t="s">
        <v>1027</v>
      </c>
      <c r="F169" s="275">
        <v>2935</v>
      </c>
      <c r="G169" s="275">
        <v>2934</v>
      </c>
      <c r="H169" s="276">
        <v>1</v>
      </c>
    </row>
    <row r="170" spans="1:8" ht="14.1" customHeight="1" x14ac:dyDescent="0.25">
      <c r="A170" s="264" t="s">
        <v>1110</v>
      </c>
      <c r="B170" s="264"/>
      <c r="C170" s="264" t="s">
        <v>1111</v>
      </c>
      <c r="D170" s="265" t="s">
        <v>1087</v>
      </c>
      <c r="E170" s="265" t="s">
        <v>1027</v>
      </c>
      <c r="F170" s="275">
        <v>38599.99</v>
      </c>
      <c r="G170" s="275">
        <v>38598.99</v>
      </c>
      <c r="H170" s="276">
        <v>1</v>
      </c>
    </row>
    <row r="171" spans="1:8" ht="14.1" customHeight="1" x14ac:dyDescent="0.25">
      <c r="A171" s="264" t="s">
        <v>1112</v>
      </c>
      <c r="B171" s="264"/>
      <c r="C171" s="264" t="s">
        <v>1113</v>
      </c>
      <c r="D171" s="265" t="s">
        <v>1114</v>
      </c>
      <c r="E171" s="265" t="s">
        <v>871</v>
      </c>
      <c r="F171" s="275">
        <v>16402</v>
      </c>
      <c r="G171" s="275">
        <v>11389.58</v>
      </c>
      <c r="H171" s="275">
        <v>5012.42</v>
      </c>
    </row>
    <row r="172" spans="1:8" ht="14.1" customHeight="1" x14ac:dyDescent="0.25">
      <c r="A172" s="264" t="s">
        <v>1115</v>
      </c>
      <c r="B172" s="264"/>
      <c r="C172" s="264" t="s">
        <v>1071</v>
      </c>
      <c r="D172" s="265" t="s">
        <v>756</v>
      </c>
      <c r="E172" s="265" t="s">
        <v>1013</v>
      </c>
      <c r="F172" s="275">
        <v>5310</v>
      </c>
      <c r="G172" s="275">
        <v>3686.81</v>
      </c>
      <c r="H172" s="275">
        <v>1623.2</v>
      </c>
    </row>
    <row r="173" spans="1:8" ht="14.1" customHeight="1" x14ac:dyDescent="0.25">
      <c r="A173" s="264" t="s">
        <v>1116</v>
      </c>
      <c r="B173" s="264"/>
      <c r="C173" s="264" t="s">
        <v>1117</v>
      </c>
      <c r="D173" s="265" t="s">
        <v>756</v>
      </c>
      <c r="E173" s="265" t="s">
        <v>1016</v>
      </c>
      <c r="F173" s="275">
        <v>4002.73</v>
      </c>
      <c r="G173" s="275">
        <v>2778.98</v>
      </c>
      <c r="H173" s="275">
        <v>1223.75</v>
      </c>
    </row>
    <row r="174" spans="1:8" ht="14.1" customHeight="1" x14ac:dyDescent="0.25">
      <c r="A174" s="264" t="s">
        <v>1118</v>
      </c>
      <c r="B174" s="264"/>
      <c r="C174" s="264" t="s">
        <v>1119</v>
      </c>
      <c r="D174" s="265" t="s">
        <v>1019</v>
      </c>
      <c r="E174" s="265" t="s">
        <v>1020</v>
      </c>
      <c r="F174" s="275">
        <v>4537.1000000000004</v>
      </c>
      <c r="G174" s="275">
        <v>3150.07</v>
      </c>
      <c r="H174" s="275">
        <v>1387.03</v>
      </c>
    </row>
    <row r="175" spans="1:8" ht="14.1" customHeight="1" x14ac:dyDescent="0.25">
      <c r="A175" s="264" t="s">
        <v>1120</v>
      </c>
      <c r="B175" s="264"/>
      <c r="C175" s="264" t="s">
        <v>1067</v>
      </c>
      <c r="D175" s="265" t="s">
        <v>1068</v>
      </c>
      <c r="E175" s="265" t="s">
        <v>1010</v>
      </c>
      <c r="F175" s="275">
        <v>74299.990000000005</v>
      </c>
      <c r="G175" s="275">
        <v>59851.96</v>
      </c>
      <c r="H175" s="275">
        <v>14448.03</v>
      </c>
    </row>
    <row r="176" spans="1:8" ht="14.1" customHeight="1" x14ac:dyDescent="0.25">
      <c r="A176" s="264" t="s">
        <v>1121</v>
      </c>
      <c r="B176" s="264"/>
      <c r="C176" s="264" t="s">
        <v>1122</v>
      </c>
      <c r="D176" s="265" t="s">
        <v>960</v>
      </c>
      <c r="E176" s="265" t="s">
        <v>1123</v>
      </c>
      <c r="F176" s="275">
        <v>116348</v>
      </c>
      <c r="G176" s="275">
        <v>58173.5</v>
      </c>
      <c r="H176" s="275">
        <v>58174.5</v>
      </c>
    </row>
    <row r="177" spans="1:8" ht="14.1" customHeight="1" x14ac:dyDescent="0.25">
      <c r="A177" s="264" t="s">
        <v>1124</v>
      </c>
      <c r="B177" s="264"/>
      <c r="C177" s="264" t="s">
        <v>1125</v>
      </c>
      <c r="D177" s="265" t="s">
        <v>950</v>
      </c>
      <c r="E177" s="265" t="s">
        <v>951</v>
      </c>
      <c r="F177" s="275">
        <v>20296</v>
      </c>
      <c r="G177" s="275">
        <v>9583.75</v>
      </c>
      <c r="H177" s="275">
        <v>10712.25</v>
      </c>
    </row>
    <row r="178" spans="1:8" ht="14.1" customHeight="1" x14ac:dyDescent="0.25">
      <c r="A178" s="264" t="s">
        <v>1126</v>
      </c>
      <c r="B178" s="264"/>
      <c r="C178" s="264" t="s">
        <v>1101</v>
      </c>
      <c r="D178" s="265" t="s">
        <v>1102</v>
      </c>
      <c r="E178" s="265" t="s">
        <v>1103</v>
      </c>
      <c r="F178" s="275">
        <v>1344</v>
      </c>
      <c r="G178" s="276">
        <v>111.92</v>
      </c>
      <c r="H178" s="275">
        <v>1232.08</v>
      </c>
    </row>
    <row r="179" spans="1:8" ht="14.1" customHeight="1" x14ac:dyDescent="0.25">
      <c r="A179" s="264" t="s">
        <v>1127</v>
      </c>
      <c r="B179" s="264"/>
      <c r="C179" s="264" t="s">
        <v>1128</v>
      </c>
      <c r="D179" s="265" t="s">
        <v>867</v>
      </c>
      <c r="E179" s="265" t="s">
        <v>1129</v>
      </c>
      <c r="F179" s="275">
        <v>129852.17</v>
      </c>
      <c r="G179" s="275">
        <v>14427.91</v>
      </c>
      <c r="H179" s="275">
        <v>115424.26</v>
      </c>
    </row>
    <row r="180" spans="1:8" ht="14.1" customHeight="1" x14ac:dyDescent="0.25">
      <c r="A180" s="264" t="s">
        <v>1130</v>
      </c>
      <c r="B180" s="264"/>
      <c r="C180" s="264" t="s">
        <v>1131</v>
      </c>
      <c r="D180" s="265" t="s">
        <v>858</v>
      </c>
      <c r="E180" s="265" t="s">
        <v>808</v>
      </c>
      <c r="F180" s="275">
        <v>31617</v>
      </c>
      <c r="G180" s="275">
        <v>31616</v>
      </c>
      <c r="H180" s="276">
        <v>1</v>
      </c>
    </row>
    <row r="181" spans="1:8" ht="14.1" customHeight="1" x14ac:dyDescent="0.25">
      <c r="A181" s="264" t="s">
        <v>1132</v>
      </c>
      <c r="B181" s="264"/>
      <c r="C181" s="264" t="s">
        <v>1133</v>
      </c>
      <c r="D181" s="265" t="s">
        <v>1064</v>
      </c>
      <c r="E181" s="265" t="s">
        <v>1134</v>
      </c>
      <c r="F181" s="275">
        <v>170628</v>
      </c>
      <c r="G181" s="275">
        <v>170627</v>
      </c>
      <c r="H181" s="276">
        <v>1</v>
      </c>
    </row>
    <row r="182" spans="1:8" ht="14.1" customHeight="1" x14ac:dyDescent="0.25">
      <c r="A182" s="264" t="s">
        <v>1135</v>
      </c>
      <c r="B182" s="264"/>
      <c r="C182" s="264" t="s">
        <v>1136</v>
      </c>
      <c r="D182" s="265" t="s">
        <v>1137</v>
      </c>
      <c r="E182" s="265" t="s">
        <v>1138</v>
      </c>
      <c r="F182" s="275">
        <v>6038</v>
      </c>
      <c r="G182" s="275">
        <v>6037</v>
      </c>
      <c r="H182" s="276">
        <v>1</v>
      </c>
    </row>
    <row r="183" spans="1:8" ht="14.1" customHeight="1" x14ac:dyDescent="0.25">
      <c r="A183" s="264" t="s">
        <v>1139</v>
      </c>
      <c r="B183" s="264"/>
      <c r="C183" s="264" t="s">
        <v>1140</v>
      </c>
      <c r="D183" s="265" t="s">
        <v>1141</v>
      </c>
      <c r="E183" s="265" t="s">
        <v>1142</v>
      </c>
      <c r="F183" s="275">
        <v>13083.81</v>
      </c>
      <c r="G183" s="275">
        <v>2543.88</v>
      </c>
      <c r="H183" s="275">
        <v>10539.93</v>
      </c>
    </row>
    <row r="184" spans="1:8" ht="14.1" customHeight="1" x14ac:dyDescent="0.25">
      <c r="A184" s="264" t="s">
        <v>1143</v>
      </c>
      <c r="B184" s="264"/>
      <c r="C184" s="264" t="s">
        <v>1144</v>
      </c>
      <c r="D184" s="265" t="s">
        <v>964</v>
      </c>
      <c r="E184" s="265" t="s">
        <v>965</v>
      </c>
      <c r="F184" s="275">
        <v>14054.04</v>
      </c>
      <c r="G184" s="275">
        <v>5074.71</v>
      </c>
      <c r="H184" s="275">
        <v>8979.33</v>
      </c>
    </row>
    <row r="185" spans="1:8" ht="14.1" customHeight="1" x14ac:dyDescent="0.25">
      <c r="A185" s="264" t="s">
        <v>1145</v>
      </c>
      <c r="B185" s="264"/>
      <c r="C185" s="264" t="s">
        <v>1146</v>
      </c>
      <c r="D185" s="265" t="s">
        <v>928</v>
      </c>
      <c r="E185" s="265" t="s">
        <v>778</v>
      </c>
      <c r="F185" s="275">
        <v>46940.4</v>
      </c>
      <c r="G185" s="275">
        <v>46939.4</v>
      </c>
      <c r="H185" s="276">
        <v>1</v>
      </c>
    </row>
    <row r="186" spans="1:8" ht="14.1" customHeight="1" x14ac:dyDescent="0.25">
      <c r="A186" s="264" t="s">
        <v>1147</v>
      </c>
      <c r="B186" s="264"/>
      <c r="C186" s="264" t="s">
        <v>1148</v>
      </c>
      <c r="D186" s="265" t="s">
        <v>1149</v>
      </c>
      <c r="E186" s="265" t="s">
        <v>929</v>
      </c>
      <c r="F186" s="276">
        <v>756</v>
      </c>
      <c r="G186" s="276">
        <v>755</v>
      </c>
      <c r="H186" s="276">
        <v>1</v>
      </c>
    </row>
    <row r="187" spans="1:8" ht="14.1" customHeight="1" x14ac:dyDescent="0.25">
      <c r="A187" s="264" t="s">
        <v>1150</v>
      </c>
      <c r="B187" s="264"/>
      <c r="C187" s="264" t="s">
        <v>1148</v>
      </c>
      <c r="D187" s="265" t="s">
        <v>928</v>
      </c>
      <c r="E187" s="265" t="s">
        <v>929</v>
      </c>
      <c r="F187" s="276">
        <v>756</v>
      </c>
      <c r="G187" s="276">
        <v>755</v>
      </c>
      <c r="H187" s="276">
        <v>1</v>
      </c>
    </row>
    <row r="188" spans="1:8" ht="14.1" customHeight="1" x14ac:dyDescent="0.25">
      <c r="A188" s="264" t="s">
        <v>1151</v>
      </c>
      <c r="B188" s="264"/>
      <c r="C188" s="264" t="s">
        <v>1006</v>
      </c>
      <c r="D188" s="265" t="s">
        <v>928</v>
      </c>
      <c r="E188" s="265" t="s">
        <v>929</v>
      </c>
      <c r="F188" s="275">
        <v>6640</v>
      </c>
      <c r="G188" s="275">
        <v>6639</v>
      </c>
      <c r="H188" s="276">
        <v>1</v>
      </c>
    </row>
    <row r="189" spans="1:8" ht="14.1" customHeight="1" x14ac:dyDescent="0.25">
      <c r="A189" s="264" t="s">
        <v>1152</v>
      </c>
      <c r="B189" s="264"/>
      <c r="C189" s="264" t="s">
        <v>1006</v>
      </c>
      <c r="D189" s="265" t="s">
        <v>928</v>
      </c>
      <c r="E189" s="265" t="s">
        <v>929</v>
      </c>
      <c r="F189" s="275">
        <v>6640</v>
      </c>
      <c r="G189" s="275">
        <v>6639</v>
      </c>
      <c r="H189" s="276">
        <v>1</v>
      </c>
    </row>
    <row r="190" spans="1:8" ht="18.399999999999999" customHeight="1" x14ac:dyDescent="0.25">
      <c r="A190" s="264" t="s">
        <v>1153</v>
      </c>
      <c r="B190" s="264"/>
      <c r="C190" s="264" t="s">
        <v>1006</v>
      </c>
      <c r="D190" s="265" t="s">
        <v>928</v>
      </c>
      <c r="E190" s="265" t="s">
        <v>929</v>
      </c>
      <c r="F190" s="275">
        <v>8462</v>
      </c>
      <c r="G190" s="275">
        <v>8461</v>
      </c>
      <c r="H190" s="276">
        <v>1</v>
      </c>
    </row>
    <row r="191" spans="1:8" s="280" customFormat="1" ht="14.1" customHeight="1" x14ac:dyDescent="0.25">
      <c r="A191" s="270" t="s">
        <v>1154</v>
      </c>
      <c r="B191" s="270"/>
      <c r="C191" s="270" t="s">
        <v>1155</v>
      </c>
      <c r="D191" s="272" t="s">
        <v>1156</v>
      </c>
      <c r="E191" s="272" t="s">
        <v>1157</v>
      </c>
      <c r="F191" s="273">
        <v>51737.1</v>
      </c>
      <c r="G191" s="273">
        <v>51736.1</v>
      </c>
      <c r="H191" s="278">
        <v>1</v>
      </c>
    </row>
    <row r="192" spans="1:8" ht="14.1" customHeight="1" x14ac:dyDescent="0.25">
      <c r="A192" s="264" t="s">
        <v>1158</v>
      </c>
      <c r="B192" s="264"/>
      <c r="C192" s="264" t="s">
        <v>1159</v>
      </c>
      <c r="D192" s="265" t="s">
        <v>1042</v>
      </c>
      <c r="E192" s="265" t="s">
        <v>1043</v>
      </c>
      <c r="F192" s="275">
        <v>7316</v>
      </c>
      <c r="G192" s="275">
        <v>7315</v>
      </c>
      <c r="H192" s="276">
        <v>1</v>
      </c>
    </row>
    <row r="193" spans="1:8" ht="14.1" customHeight="1" x14ac:dyDescent="0.25">
      <c r="A193" s="264" t="s">
        <v>1160</v>
      </c>
      <c r="B193" s="264"/>
      <c r="C193" s="264" t="s">
        <v>1106</v>
      </c>
      <c r="D193" s="265" t="s">
        <v>1026</v>
      </c>
      <c r="E193" s="265" t="s">
        <v>1027</v>
      </c>
      <c r="F193" s="275">
        <v>4010.1</v>
      </c>
      <c r="G193" s="275">
        <v>4009.1</v>
      </c>
      <c r="H193" s="276">
        <v>1</v>
      </c>
    </row>
    <row r="194" spans="1:8" ht="14.1" customHeight="1" x14ac:dyDescent="0.25">
      <c r="A194" s="264" t="s">
        <v>1161</v>
      </c>
      <c r="B194" s="264"/>
      <c r="C194" s="264" t="s">
        <v>1162</v>
      </c>
      <c r="D194" s="265" t="s">
        <v>1026</v>
      </c>
      <c r="E194" s="265" t="s">
        <v>1027</v>
      </c>
      <c r="F194" s="275">
        <v>6000.01</v>
      </c>
      <c r="G194" s="275">
        <v>5999.01</v>
      </c>
      <c r="H194" s="276">
        <v>1</v>
      </c>
    </row>
    <row r="195" spans="1:8" ht="14.1" customHeight="1" x14ac:dyDescent="0.25">
      <c r="A195" s="264" t="s">
        <v>1163</v>
      </c>
      <c r="B195" s="264"/>
      <c r="C195" s="264" t="s">
        <v>1031</v>
      </c>
      <c r="D195" s="265" t="s">
        <v>1032</v>
      </c>
      <c r="E195" s="265" t="s">
        <v>1027</v>
      </c>
      <c r="F195" s="275">
        <v>2935</v>
      </c>
      <c r="G195" s="275">
        <v>2934</v>
      </c>
      <c r="H195" s="276">
        <v>1</v>
      </c>
    </row>
    <row r="196" spans="1:8" ht="14.1" customHeight="1" x14ac:dyDescent="0.25">
      <c r="A196" s="264" t="s">
        <v>1164</v>
      </c>
      <c r="B196" s="264"/>
      <c r="C196" s="264" t="s">
        <v>1036</v>
      </c>
      <c r="D196" s="265" t="s">
        <v>1032</v>
      </c>
      <c r="E196" s="265" t="s">
        <v>1027</v>
      </c>
      <c r="F196" s="276">
        <v>480</v>
      </c>
      <c r="G196" s="276">
        <v>479</v>
      </c>
      <c r="H196" s="276">
        <v>1</v>
      </c>
    </row>
    <row r="197" spans="1:8" ht="14.1" customHeight="1" x14ac:dyDescent="0.25">
      <c r="A197" s="264" t="s">
        <v>1165</v>
      </c>
      <c r="B197" s="264"/>
      <c r="C197" s="264" t="s">
        <v>1111</v>
      </c>
      <c r="D197" s="265" t="s">
        <v>1087</v>
      </c>
      <c r="E197" s="265" t="s">
        <v>1027</v>
      </c>
      <c r="F197" s="275">
        <v>38599.99</v>
      </c>
      <c r="G197" s="275">
        <v>38598.99</v>
      </c>
      <c r="H197" s="276">
        <v>1</v>
      </c>
    </row>
    <row r="198" spans="1:8" ht="14.1" customHeight="1" x14ac:dyDescent="0.25">
      <c r="A198" s="264" t="s">
        <v>1166</v>
      </c>
      <c r="B198" s="264"/>
      <c r="C198" s="264" t="s">
        <v>1071</v>
      </c>
      <c r="D198" s="265" t="s">
        <v>756</v>
      </c>
      <c r="E198" s="265" t="s">
        <v>1013</v>
      </c>
      <c r="F198" s="275">
        <v>5310</v>
      </c>
      <c r="G198" s="275">
        <v>3686.81</v>
      </c>
      <c r="H198" s="275">
        <v>1623.2</v>
      </c>
    </row>
    <row r="199" spans="1:8" ht="14.1" customHeight="1" x14ac:dyDescent="0.25">
      <c r="A199" s="264" t="s">
        <v>1167</v>
      </c>
      <c r="B199" s="264"/>
      <c r="C199" s="264" t="s">
        <v>1015</v>
      </c>
      <c r="D199" s="265" t="s">
        <v>756</v>
      </c>
      <c r="E199" s="265" t="s">
        <v>1016</v>
      </c>
      <c r="F199" s="275">
        <v>3502.28</v>
      </c>
      <c r="G199" s="275">
        <v>2431.44</v>
      </c>
      <c r="H199" s="275">
        <v>1070.8399999999999</v>
      </c>
    </row>
    <row r="200" spans="1:8" ht="14.1" customHeight="1" x14ac:dyDescent="0.25">
      <c r="A200" s="264" t="s">
        <v>1168</v>
      </c>
      <c r="B200" s="264"/>
      <c r="C200" s="264" t="s">
        <v>1074</v>
      </c>
      <c r="D200" s="265" t="s">
        <v>1019</v>
      </c>
      <c r="E200" s="265" t="s">
        <v>1020</v>
      </c>
      <c r="F200" s="275">
        <v>8018.1</v>
      </c>
      <c r="G200" s="275">
        <v>5567.43</v>
      </c>
      <c r="H200" s="275">
        <v>2450.67</v>
      </c>
    </row>
    <row r="201" spans="1:8" ht="14.1" customHeight="1" x14ac:dyDescent="0.25">
      <c r="A201" s="264" t="s">
        <v>1169</v>
      </c>
      <c r="B201" s="264"/>
      <c r="C201" s="264" t="s">
        <v>1076</v>
      </c>
      <c r="D201" s="265" t="s">
        <v>1019</v>
      </c>
      <c r="E201" s="265" t="s">
        <v>1020</v>
      </c>
      <c r="F201" s="275">
        <v>5310</v>
      </c>
      <c r="G201" s="275">
        <v>3686.81</v>
      </c>
      <c r="H201" s="275">
        <v>1623.2</v>
      </c>
    </row>
    <row r="202" spans="1:8" ht="14.1" customHeight="1" x14ac:dyDescent="0.25">
      <c r="A202" s="264" t="s">
        <v>1170</v>
      </c>
      <c r="B202" s="264"/>
      <c r="C202" s="264" t="s">
        <v>1171</v>
      </c>
      <c r="D202" s="265" t="s">
        <v>916</v>
      </c>
      <c r="E202" s="265" t="s">
        <v>1039</v>
      </c>
      <c r="F202" s="275">
        <v>1298267.2</v>
      </c>
      <c r="G202" s="275">
        <v>1298266.2</v>
      </c>
      <c r="H202" s="276">
        <v>1</v>
      </c>
    </row>
    <row r="203" spans="1:8" ht="14.1" customHeight="1" x14ac:dyDescent="0.25">
      <c r="A203" s="264" t="s">
        <v>1172</v>
      </c>
      <c r="B203" s="264"/>
      <c r="C203" s="264" t="s">
        <v>1101</v>
      </c>
      <c r="D203" s="265" t="s">
        <v>1102</v>
      </c>
      <c r="E203" s="265" t="s">
        <v>1103</v>
      </c>
      <c r="F203" s="275">
        <v>1344</v>
      </c>
      <c r="G203" s="276">
        <v>111.92</v>
      </c>
      <c r="H203" s="275">
        <v>1232.08</v>
      </c>
    </row>
    <row r="204" spans="1:8" ht="14.1" customHeight="1" x14ac:dyDescent="0.25">
      <c r="A204" s="264" t="s">
        <v>1173</v>
      </c>
      <c r="B204" s="264"/>
      <c r="C204" s="264" t="s">
        <v>1051</v>
      </c>
      <c r="D204" s="265" t="s">
        <v>782</v>
      </c>
      <c r="E204" s="265" t="s">
        <v>778</v>
      </c>
      <c r="F204" s="275">
        <v>30861.07</v>
      </c>
      <c r="G204" s="275">
        <v>30860.07</v>
      </c>
      <c r="H204" s="276">
        <v>1</v>
      </c>
    </row>
    <row r="205" spans="1:8" ht="14.1" customHeight="1" x14ac:dyDescent="0.25">
      <c r="A205" s="264" t="s">
        <v>1174</v>
      </c>
      <c r="B205" s="264"/>
      <c r="C205" s="264" t="s">
        <v>1094</v>
      </c>
      <c r="D205" s="265" t="s">
        <v>928</v>
      </c>
      <c r="E205" s="265" t="s">
        <v>778</v>
      </c>
      <c r="F205" s="275">
        <v>23412.67</v>
      </c>
      <c r="G205" s="275">
        <v>23411.67</v>
      </c>
      <c r="H205" s="276">
        <v>1</v>
      </c>
    </row>
    <row r="206" spans="1:8" ht="14.1" customHeight="1" x14ac:dyDescent="0.25">
      <c r="A206" s="264" t="s">
        <v>1175</v>
      </c>
      <c r="B206" s="264"/>
      <c r="C206" s="264" t="s">
        <v>1148</v>
      </c>
      <c r="D206" s="265" t="s">
        <v>1149</v>
      </c>
      <c r="E206" s="265" t="s">
        <v>929</v>
      </c>
      <c r="F206" s="276">
        <v>756</v>
      </c>
      <c r="G206" s="276">
        <v>755</v>
      </c>
      <c r="H206" s="276">
        <v>1</v>
      </c>
    </row>
    <row r="207" spans="1:8" ht="14.1" customHeight="1" x14ac:dyDescent="0.25">
      <c r="A207" s="264" t="s">
        <v>1176</v>
      </c>
      <c r="B207" s="264"/>
      <c r="C207" s="264" t="s">
        <v>1148</v>
      </c>
      <c r="D207" s="265" t="s">
        <v>928</v>
      </c>
      <c r="E207" s="265" t="s">
        <v>929</v>
      </c>
      <c r="F207" s="276">
        <v>756</v>
      </c>
      <c r="G207" s="276">
        <v>755</v>
      </c>
      <c r="H207" s="276">
        <v>1</v>
      </c>
    </row>
    <row r="208" spans="1:8" ht="14.1" customHeight="1" x14ac:dyDescent="0.25">
      <c r="A208" s="264" t="s">
        <v>1177</v>
      </c>
      <c r="B208" s="264"/>
      <c r="C208" s="264" t="s">
        <v>1148</v>
      </c>
      <c r="D208" s="265" t="s">
        <v>928</v>
      </c>
      <c r="E208" s="265" t="s">
        <v>929</v>
      </c>
      <c r="F208" s="276">
        <v>756</v>
      </c>
      <c r="G208" s="276">
        <v>755</v>
      </c>
      <c r="H208" s="276">
        <v>1</v>
      </c>
    </row>
    <row r="209" spans="1:8" ht="14.1" customHeight="1" x14ac:dyDescent="0.25">
      <c r="A209" s="264" t="s">
        <v>1178</v>
      </c>
      <c r="B209" s="264"/>
      <c r="C209" s="264" t="s">
        <v>1148</v>
      </c>
      <c r="D209" s="265" t="s">
        <v>928</v>
      </c>
      <c r="E209" s="265" t="s">
        <v>929</v>
      </c>
      <c r="F209" s="276">
        <v>806</v>
      </c>
      <c r="G209" s="276">
        <v>805</v>
      </c>
      <c r="H209" s="276">
        <v>1</v>
      </c>
    </row>
    <row r="210" spans="1:8" ht="14.1" customHeight="1" x14ac:dyDescent="0.25">
      <c r="A210" s="264" t="s">
        <v>1179</v>
      </c>
      <c r="B210" s="264"/>
      <c r="C210" s="264" t="s">
        <v>1022</v>
      </c>
      <c r="D210" s="265" t="s">
        <v>928</v>
      </c>
      <c r="E210" s="265" t="s">
        <v>929</v>
      </c>
      <c r="F210" s="275">
        <v>51737.1</v>
      </c>
      <c r="G210" s="275">
        <v>51736.1</v>
      </c>
      <c r="H210" s="276">
        <v>1</v>
      </c>
    </row>
    <row r="211" spans="1:8" ht="14.1" customHeight="1" x14ac:dyDescent="0.25">
      <c r="A211" s="264" t="s">
        <v>1180</v>
      </c>
      <c r="B211" s="264"/>
      <c r="C211" s="264" t="s">
        <v>1181</v>
      </c>
      <c r="D211" s="265" t="s">
        <v>867</v>
      </c>
      <c r="E211" s="265" t="s">
        <v>1129</v>
      </c>
      <c r="F211" s="275">
        <v>129852.17</v>
      </c>
      <c r="G211" s="275">
        <v>14427.91</v>
      </c>
      <c r="H211" s="275">
        <v>115424.26</v>
      </c>
    </row>
    <row r="212" spans="1:8" ht="14.1" customHeight="1" x14ac:dyDescent="0.25">
      <c r="A212" s="264" t="s">
        <v>1182</v>
      </c>
      <c r="B212" s="264"/>
      <c r="C212" s="264" t="s">
        <v>1006</v>
      </c>
      <c r="D212" s="265" t="s">
        <v>858</v>
      </c>
      <c r="E212" s="265" t="s">
        <v>808</v>
      </c>
      <c r="F212" s="275">
        <v>7000</v>
      </c>
      <c r="G212" s="275">
        <v>6999</v>
      </c>
      <c r="H212" s="276">
        <v>1</v>
      </c>
    </row>
    <row r="213" spans="1:8" ht="14.1" customHeight="1" x14ac:dyDescent="0.25">
      <c r="A213" s="264" t="s">
        <v>1183</v>
      </c>
      <c r="B213" s="264"/>
      <c r="C213" s="264" t="s">
        <v>1063</v>
      </c>
      <c r="D213" s="265" t="s">
        <v>1064</v>
      </c>
      <c r="E213" s="265" t="s">
        <v>1065</v>
      </c>
      <c r="F213" s="275">
        <v>40031.5</v>
      </c>
      <c r="G213" s="275">
        <v>33358.75</v>
      </c>
      <c r="H213" s="275">
        <v>6672.75</v>
      </c>
    </row>
    <row r="214" spans="1:8" ht="14.1" customHeight="1" x14ac:dyDescent="0.25">
      <c r="A214" s="264" t="s">
        <v>1184</v>
      </c>
      <c r="B214" s="264"/>
      <c r="C214" s="264" t="s">
        <v>1067</v>
      </c>
      <c r="D214" s="265" t="s">
        <v>1068</v>
      </c>
      <c r="E214" s="265" t="s">
        <v>1010</v>
      </c>
      <c r="F214" s="275">
        <v>74300</v>
      </c>
      <c r="G214" s="275">
        <v>59851.97</v>
      </c>
      <c r="H214" s="275">
        <v>14448.03</v>
      </c>
    </row>
    <row r="215" spans="1:8" ht="14.1" customHeight="1" x14ac:dyDescent="0.25">
      <c r="A215" s="264" t="s">
        <v>1185</v>
      </c>
      <c r="B215" s="264"/>
      <c r="C215" s="264" t="s">
        <v>1186</v>
      </c>
      <c r="D215" s="265" t="s">
        <v>1042</v>
      </c>
      <c r="E215" s="265" t="s">
        <v>1043</v>
      </c>
      <c r="F215" s="275">
        <v>7316</v>
      </c>
      <c r="G215" s="275">
        <v>7315</v>
      </c>
      <c r="H215" s="276">
        <v>1</v>
      </c>
    </row>
    <row r="216" spans="1:8" ht="14.1" customHeight="1" x14ac:dyDescent="0.25">
      <c r="A216" s="264" t="s">
        <v>1187</v>
      </c>
      <c r="B216" s="264"/>
      <c r="C216" s="264" t="s">
        <v>1188</v>
      </c>
      <c r="D216" s="265" t="s">
        <v>741</v>
      </c>
      <c r="E216" s="265" t="s">
        <v>1189</v>
      </c>
      <c r="F216" s="275">
        <v>153000.01</v>
      </c>
      <c r="G216" s="275">
        <v>21249.86</v>
      </c>
      <c r="H216" s="275">
        <v>131750.15</v>
      </c>
    </row>
    <row r="217" spans="1:8" ht="14.1" customHeight="1" x14ac:dyDescent="0.25">
      <c r="A217" s="264" t="s">
        <v>1190</v>
      </c>
      <c r="B217" s="264"/>
      <c r="C217" s="264" t="s">
        <v>1041</v>
      </c>
      <c r="D217" s="265" t="s">
        <v>1042</v>
      </c>
      <c r="E217" s="265" t="s">
        <v>1043</v>
      </c>
      <c r="F217" s="275">
        <v>52274</v>
      </c>
      <c r="G217" s="275">
        <v>52273</v>
      </c>
      <c r="H217" s="276">
        <v>1</v>
      </c>
    </row>
    <row r="218" spans="1:8" ht="14.1" customHeight="1" x14ac:dyDescent="0.25">
      <c r="A218" s="264" t="s">
        <v>1191</v>
      </c>
      <c r="B218" s="264"/>
      <c r="C218" s="264" t="s">
        <v>1045</v>
      </c>
      <c r="D218" s="265" t="s">
        <v>1042</v>
      </c>
      <c r="E218" s="265" t="s">
        <v>1043</v>
      </c>
      <c r="F218" s="275">
        <v>6962</v>
      </c>
      <c r="G218" s="275">
        <v>6961</v>
      </c>
      <c r="H218" s="276">
        <v>1</v>
      </c>
    </row>
    <row r="219" spans="1:8" ht="14.1" customHeight="1" x14ac:dyDescent="0.25">
      <c r="A219" s="264" t="s">
        <v>1192</v>
      </c>
      <c r="B219" s="264"/>
      <c r="C219" s="264" t="s">
        <v>1193</v>
      </c>
      <c r="D219" s="265" t="s">
        <v>1009</v>
      </c>
      <c r="E219" s="265" t="s">
        <v>1010</v>
      </c>
      <c r="F219" s="275">
        <v>10100</v>
      </c>
      <c r="G219" s="275">
        <v>8135.3</v>
      </c>
      <c r="H219" s="275">
        <v>1964.7</v>
      </c>
    </row>
    <row r="220" spans="1:8" ht="14.1" customHeight="1" x14ac:dyDescent="0.25">
      <c r="A220" s="264" t="s">
        <v>1194</v>
      </c>
      <c r="B220" s="264"/>
      <c r="C220" s="264" t="s">
        <v>1195</v>
      </c>
      <c r="D220" s="265" t="s">
        <v>896</v>
      </c>
      <c r="E220" s="265" t="s">
        <v>883</v>
      </c>
      <c r="F220" s="275">
        <v>67484.2</v>
      </c>
      <c r="G220" s="275">
        <v>67483.199999999997</v>
      </c>
      <c r="H220" s="276">
        <v>1</v>
      </c>
    </row>
    <row r="221" spans="1:8" ht="14.1" customHeight="1" x14ac:dyDescent="0.25">
      <c r="A221" s="264" t="s">
        <v>1196</v>
      </c>
      <c r="B221" s="264"/>
      <c r="C221" s="264" t="s">
        <v>996</v>
      </c>
      <c r="D221" s="265" t="s">
        <v>1137</v>
      </c>
      <c r="E221" s="265" t="s">
        <v>1138</v>
      </c>
      <c r="F221" s="275">
        <v>223925.23</v>
      </c>
      <c r="G221" s="275">
        <v>223924.23</v>
      </c>
      <c r="H221" s="276">
        <v>1</v>
      </c>
    </row>
    <row r="222" spans="1:8" ht="14.1" customHeight="1" x14ac:dyDescent="0.25">
      <c r="A222" s="264" t="s">
        <v>1197</v>
      </c>
      <c r="B222" s="264"/>
      <c r="C222" s="264" t="s">
        <v>1140</v>
      </c>
      <c r="D222" s="265" t="s">
        <v>1141</v>
      </c>
      <c r="E222" s="265" t="s">
        <v>1198</v>
      </c>
      <c r="F222" s="275">
        <v>13083.81</v>
      </c>
      <c r="G222" s="275">
        <v>2543.88</v>
      </c>
      <c r="H222" s="275">
        <v>10539.93</v>
      </c>
    </row>
    <row r="223" spans="1:8" ht="14.1" customHeight="1" x14ac:dyDescent="0.25">
      <c r="A223" s="264" t="s">
        <v>1199</v>
      </c>
      <c r="B223" s="264"/>
      <c r="C223" s="264" t="s">
        <v>1200</v>
      </c>
      <c r="D223" s="265" t="s">
        <v>936</v>
      </c>
      <c r="E223" s="265" t="s">
        <v>1201</v>
      </c>
      <c r="F223" s="275">
        <v>73396</v>
      </c>
      <c r="G223" s="275">
        <v>73395</v>
      </c>
      <c r="H223" s="276">
        <v>1</v>
      </c>
    </row>
    <row r="224" spans="1:8" ht="14.1" customHeight="1" x14ac:dyDescent="0.25">
      <c r="A224" s="264" t="s">
        <v>1202</v>
      </c>
      <c r="B224" s="264"/>
      <c r="C224" s="264" t="s">
        <v>1006</v>
      </c>
      <c r="D224" s="265" t="s">
        <v>782</v>
      </c>
      <c r="E224" s="265" t="s">
        <v>778</v>
      </c>
      <c r="F224" s="275">
        <v>6640</v>
      </c>
      <c r="G224" s="275">
        <v>6639</v>
      </c>
      <c r="H224" s="276">
        <v>1</v>
      </c>
    </row>
    <row r="225" spans="1:8" ht="14.1" customHeight="1" x14ac:dyDescent="0.25">
      <c r="A225" s="264" t="s">
        <v>1203</v>
      </c>
      <c r="B225" s="264"/>
      <c r="C225" s="264" t="s">
        <v>1006</v>
      </c>
      <c r="D225" s="265" t="s">
        <v>782</v>
      </c>
      <c r="E225" s="265" t="s">
        <v>929</v>
      </c>
      <c r="F225" s="275">
        <v>6640</v>
      </c>
      <c r="G225" s="275">
        <v>6639</v>
      </c>
      <c r="H225" s="276">
        <v>1</v>
      </c>
    </row>
    <row r="226" spans="1:8" ht="14.1" customHeight="1" x14ac:dyDescent="0.25">
      <c r="A226" s="264" t="s">
        <v>1204</v>
      </c>
      <c r="B226" s="264"/>
      <c r="C226" s="264" t="s">
        <v>1051</v>
      </c>
      <c r="D226" s="265" t="s">
        <v>928</v>
      </c>
      <c r="E226" s="265" t="s">
        <v>929</v>
      </c>
      <c r="F226" s="275">
        <v>30861.07</v>
      </c>
      <c r="G226" s="275">
        <v>30860.07</v>
      </c>
      <c r="H226" s="276">
        <v>1</v>
      </c>
    </row>
    <row r="227" spans="1:8" ht="14.1" customHeight="1" x14ac:dyDescent="0.25">
      <c r="A227" s="264" t="s">
        <v>1205</v>
      </c>
      <c r="B227" s="264"/>
      <c r="C227" s="264" t="s">
        <v>1006</v>
      </c>
      <c r="D227" s="265" t="s">
        <v>928</v>
      </c>
      <c r="E227" s="265" t="s">
        <v>929</v>
      </c>
      <c r="F227" s="275">
        <v>6640</v>
      </c>
      <c r="G227" s="275">
        <v>6639</v>
      </c>
      <c r="H227" s="276">
        <v>1</v>
      </c>
    </row>
    <row r="228" spans="1:8" ht="14.1" customHeight="1" x14ac:dyDescent="0.25">
      <c r="A228" s="264" t="s">
        <v>1206</v>
      </c>
      <c r="B228" s="264"/>
      <c r="C228" s="264" t="s">
        <v>1006</v>
      </c>
      <c r="D228" s="265" t="s">
        <v>928</v>
      </c>
      <c r="E228" s="265" t="s">
        <v>929</v>
      </c>
      <c r="F228" s="275">
        <v>8921</v>
      </c>
      <c r="G228" s="275">
        <v>8920</v>
      </c>
      <c r="H228" s="276">
        <v>1</v>
      </c>
    </row>
    <row r="229" spans="1:8" ht="18.399999999999999" customHeight="1" x14ac:dyDescent="0.25">
      <c r="A229" s="264" t="s">
        <v>1207</v>
      </c>
      <c r="B229" s="264"/>
      <c r="C229" s="264" t="s">
        <v>1006</v>
      </c>
      <c r="D229" s="265" t="s">
        <v>928</v>
      </c>
      <c r="E229" s="265" t="s">
        <v>929</v>
      </c>
      <c r="F229" s="275">
        <v>8462</v>
      </c>
      <c r="G229" s="275">
        <v>8461</v>
      </c>
      <c r="H229" s="276">
        <v>1</v>
      </c>
    </row>
    <row r="230" spans="1:8" ht="14.1" customHeight="1" x14ac:dyDescent="0.25">
      <c r="A230" s="270" t="s">
        <v>1208</v>
      </c>
      <c r="B230" s="270"/>
      <c r="C230" s="270" t="s">
        <v>1209</v>
      </c>
      <c r="D230" s="272" t="s">
        <v>1156</v>
      </c>
      <c r="E230" s="272" t="s">
        <v>1157</v>
      </c>
      <c r="F230" s="273">
        <v>4223.22</v>
      </c>
      <c r="G230" s="273">
        <v>4222.22</v>
      </c>
      <c r="H230" s="278">
        <v>1</v>
      </c>
    </row>
    <row r="231" spans="1:8" ht="14.1" customHeight="1" x14ac:dyDescent="0.25">
      <c r="A231" s="264" t="s">
        <v>1210</v>
      </c>
      <c r="B231" s="264"/>
      <c r="C231" s="264" t="s">
        <v>1012</v>
      </c>
      <c r="D231" s="265" t="s">
        <v>756</v>
      </c>
      <c r="E231" s="265" t="s">
        <v>1013</v>
      </c>
      <c r="F231" s="275">
        <v>3540</v>
      </c>
      <c r="G231" s="275">
        <v>2457.64</v>
      </c>
      <c r="H231" s="275">
        <v>1082.3599999999999</v>
      </c>
    </row>
    <row r="232" spans="1:8" ht="14.1" customHeight="1" x14ac:dyDescent="0.25">
      <c r="A232" s="264" t="s">
        <v>1211</v>
      </c>
      <c r="B232" s="264"/>
      <c r="C232" s="264" t="s">
        <v>1015</v>
      </c>
      <c r="D232" s="265" t="s">
        <v>756</v>
      </c>
      <c r="E232" s="265" t="s">
        <v>1016</v>
      </c>
      <c r="F232" s="275">
        <v>3502.28</v>
      </c>
      <c r="G232" s="275">
        <v>2431.44</v>
      </c>
      <c r="H232" s="275">
        <v>1070.8399999999999</v>
      </c>
    </row>
    <row r="233" spans="1:8" ht="14.1" customHeight="1" x14ac:dyDescent="0.25">
      <c r="A233" s="264" t="s">
        <v>1212</v>
      </c>
      <c r="B233" s="264"/>
      <c r="C233" s="264" t="s">
        <v>1018</v>
      </c>
      <c r="D233" s="265" t="s">
        <v>1019</v>
      </c>
      <c r="E233" s="265" t="s">
        <v>1020</v>
      </c>
      <c r="F233" s="275">
        <v>3510.5</v>
      </c>
      <c r="G233" s="275">
        <v>2437.15</v>
      </c>
      <c r="H233" s="275">
        <v>1073.3499999999999</v>
      </c>
    </row>
    <row r="234" spans="1:8" ht="14.1" customHeight="1" x14ac:dyDescent="0.25">
      <c r="A234" s="264" t="s">
        <v>1213</v>
      </c>
      <c r="B234" s="264"/>
      <c r="C234" s="264" t="s">
        <v>1214</v>
      </c>
      <c r="D234" s="265" t="s">
        <v>936</v>
      </c>
      <c r="E234" s="265" t="s">
        <v>1215</v>
      </c>
      <c r="F234" s="275">
        <v>416658</v>
      </c>
      <c r="G234" s="275">
        <v>416657</v>
      </c>
      <c r="H234" s="276">
        <v>1</v>
      </c>
    </row>
    <row r="235" spans="1:8" ht="14.1" customHeight="1" x14ac:dyDescent="0.25">
      <c r="A235" s="264" t="s">
        <v>1216</v>
      </c>
      <c r="B235" s="264"/>
      <c r="C235" s="264" t="s">
        <v>1025</v>
      </c>
      <c r="D235" s="265" t="s">
        <v>1026</v>
      </c>
      <c r="E235" s="265" t="s">
        <v>1027</v>
      </c>
      <c r="F235" s="275">
        <v>8318</v>
      </c>
      <c r="G235" s="275">
        <v>8317</v>
      </c>
      <c r="H235" s="276">
        <v>1</v>
      </c>
    </row>
    <row r="236" spans="1:8" ht="14.1" customHeight="1" x14ac:dyDescent="0.25">
      <c r="A236" s="264" t="s">
        <v>1217</v>
      </c>
      <c r="B236" s="264"/>
      <c r="C236" s="264" t="s">
        <v>1218</v>
      </c>
      <c r="D236" s="265" t="s">
        <v>1026</v>
      </c>
      <c r="E236" s="265" t="s">
        <v>1027</v>
      </c>
      <c r="F236" s="275">
        <v>66890</v>
      </c>
      <c r="G236" s="275">
        <v>66889</v>
      </c>
      <c r="H236" s="276">
        <v>1</v>
      </c>
    </row>
    <row r="237" spans="1:8" ht="14.1" customHeight="1" x14ac:dyDescent="0.25">
      <c r="A237" s="264" t="s">
        <v>1219</v>
      </c>
      <c r="B237" s="264"/>
      <c r="C237" s="264" t="s">
        <v>1111</v>
      </c>
      <c r="D237" s="265" t="s">
        <v>1087</v>
      </c>
      <c r="E237" s="265" t="s">
        <v>1027</v>
      </c>
      <c r="F237" s="275">
        <v>36852</v>
      </c>
      <c r="G237" s="275">
        <v>36851</v>
      </c>
      <c r="H237" s="276">
        <v>1</v>
      </c>
    </row>
    <row r="238" spans="1:8" ht="14.1" customHeight="1" x14ac:dyDescent="0.25">
      <c r="A238" s="264" t="s">
        <v>1220</v>
      </c>
      <c r="B238" s="264"/>
      <c r="C238" s="264" t="s">
        <v>1221</v>
      </c>
      <c r="D238" s="265" t="s">
        <v>1222</v>
      </c>
      <c r="E238" s="265" t="s">
        <v>1223</v>
      </c>
      <c r="F238" s="275">
        <v>1811.3</v>
      </c>
      <c r="G238" s="275">
        <v>1810.3</v>
      </c>
      <c r="H238" s="276">
        <v>1</v>
      </c>
    </row>
    <row r="239" spans="1:8" ht="14.1" customHeight="1" x14ac:dyDescent="0.25">
      <c r="A239" s="264" t="s">
        <v>1224</v>
      </c>
      <c r="B239" s="264"/>
      <c r="C239" s="264" t="s">
        <v>1094</v>
      </c>
      <c r="D239" s="265" t="s">
        <v>1222</v>
      </c>
      <c r="E239" s="265" t="s">
        <v>1225</v>
      </c>
      <c r="F239" s="275">
        <v>26550</v>
      </c>
      <c r="G239" s="275">
        <v>26549</v>
      </c>
      <c r="H239" s="276">
        <v>1</v>
      </c>
    </row>
    <row r="240" spans="1:8" ht="14.1" customHeight="1" x14ac:dyDescent="0.25">
      <c r="A240" s="264" t="s">
        <v>1226</v>
      </c>
      <c r="B240" s="264"/>
      <c r="C240" s="264" t="s">
        <v>1227</v>
      </c>
      <c r="D240" s="265" t="s">
        <v>1042</v>
      </c>
      <c r="E240" s="265" t="s">
        <v>1043</v>
      </c>
      <c r="F240" s="275">
        <v>59944</v>
      </c>
      <c r="G240" s="275">
        <v>59943</v>
      </c>
      <c r="H240" s="276">
        <v>1</v>
      </c>
    </row>
    <row r="241" spans="1:8" ht="14.1" customHeight="1" x14ac:dyDescent="0.25">
      <c r="A241" s="264" t="s">
        <v>1228</v>
      </c>
      <c r="B241" s="264"/>
      <c r="C241" s="264" t="s">
        <v>1229</v>
      </c>
      <c r="D241" s="265" t="s">
        <v>741</v>
      </c>
      <c r="E241" s="265" t="s">
        <v>1189</v>
      </c>
      <c r="F241" s="275">
        <v>153000.01</v>
      </c>
      <c r="G241" s="275">
        <v>21249.86</v>
      </c>
      <c r="H241" s="275">
        <v>131750.15</v>
      </c>
    </row>
    <row r="242" spans="1:8" ht="14.1" customHeight="1" x14ac:dyDescent="0.25">
      <c r="A242" s="264" t="s">
        <v>1230</v>
      </c>
      <c r="B242" s="264"/>
      <c r="C242" s="264" t="s">
        <v>1193</v>
      </c>
      <c r="D242" s="265" t="s">
        <v>1009</v>
      </c>
      <c r="E242" s="265" t="s">
        <v>1010</v>
      </c>
      <c r="F242" s="275">
        <v>10100</v>
      </c>
      <c r="G242" s="275">
        <v>8135.3</v>
      </c>
      <c r="H242" s="275">
        <v>1964.7</v>
      </c>
    </row>
    <row r="243" spans="1:8" ht="14.1" customHeight="1" x14ac:dyDescent="0.25">
      <c r="A243" s="264" t="s">
        <v>1231</v>
      </c>
      <c r="B243" s="264"/>
      <c r="C243" s="264" t="s">
        <v>1006</v>
      </c>
      <c r="D243" s="265" t="s">
        <v>782</v>
      </c>
      <c r="E243" s="265" t="s">
        <v>778</v>
      </c>
      <c r="F243" s="275">
        <v>6640</v>
      </c>
      <c r="G243" s="275">
        <v>6639</v>
      </c>
      <c r="H243" s="276">
        <v>1</v>
      </c>
    </row>
    <row r="244" spans="1:8" ht="14.1" customHeight="1" x14ac:dyDescent="0.25">
      <c r="A244" s="264" t="s">
        <v>1232</v>
      </c>
      <c r="B244" s="264"/>
      <c r="C244" s="264" t="s">
        <v>1006</v>
      </c>
      <c r="D244" s="265" t="s">
        <v>782</v>
      </c>
      <c r="E244" s="265" t="s">
        <v>929</v>
      </c>
      <c r="F244" s="275">
        <v>6640</v>
      </c>
      <c r="G244" s="275">
        <v>6639</v>
      </c>
      <c r="H244" s="276">
        <v>1</v>
      </c>
    </row>
    <row r="245" spans="1:8" ht="14.1" customHeight="1" x14ac:dyDescent="0.25">
      <c r="A245" s="264" t="s">
        <v>1233</v>
      </c>
      <c r="B245" s="264"/>
      <c r="C245" s="264" t="s">
        <v>1051</v>
      </c>
      <c r="D245" s="265" t="s">
        <v>928</v>
      </c>
      <c r="E245" s="265" t="s">
        <v>929</v>
      </c>
      <c r="F245" s="275">
        <v>30861.07</v>
      </c>
      <c r="G245" s="275">
        <v>30860.07</v>
      </c>
      <c r="H245" s="276">
        <v>1</v>
      </c>
    </row>
    <row r="246" spans="1:8" ht="14.1" customHeight="1" x14ac:dyDescent="0.25">
      <c r="A246" s="264" t="s">
        <v>1234</v>
      </c>
      <c r="B246" s="264"/>
      <c r="C246" s="264" t="s">
        <v>1148</v>
      </c>
      <c r="D246" s="265" t="s">
        <v>928</v>
      </c>
      <c r="E246" s="265" t="s">
        <v>929</v>
      </c>
      <c r="F246" s="276">
        <v>756</v>
      </c>
      <c r="G246" s="276">
        <v>755</v>
      </c>
      <c r="H246" s="276">
        <v>1</v>
      </c>
    </row>
    <row r="247" spans="1:8" ht="14.1" customHeight="1" x14ac:dyDescent="0.25">
      <c r="A247" s="264" t="s">
        <v>1235</v>
      </c>
      <c r="B247" s="264"/>
      <c r="C247" s="264" t="s">
        <v>1148</v>
      </c>
      <c r="D247" s="265" t="s">
        <v>928</v>
      </c>
      <c r="E247" s="265" t="s">
        <v>929</v>
      </c>
      <c r="F247" s="276">
        <v>756</v>
      </c>
      <c r="G247" s="276">
        <v>755</v>
      </c>
      <c r="H247" s="276">
        <v>1</v>
      </c>
    </row>
    <row r="248" spans="1:8" ht="14.1" customHeight="1" x14ac:dyDescent="0.25">
      <c r="A248" s="264" t="s">
        <v>1236</v>
      </c>
      <c r="B248" s="264"/>
      <c r="C248" s="264" t="s">
        <v>1148</v>
      </c>
      <c r="D248" s="265" t="s">
        <v>928</v>
      </c>
      <c r="E248" s="265" t="s">
        <v>929</v>
      </c>
      <c r="F248" s="276">
        <v>850</v>
      </c>
      <c r="G248" s="276">
        <v>849</v>
      </c>
      <c r="H248" s="276">
        <v>1</v>
      </c>
    </row>
    <row r="249" spans="1:8" ht="14.1" customHeight="1" x14ac:dyDescent="0.25">
      <c r="A249" s="264" t="s">
        <v>1237</v>
      </c>
      <c r="B249" s="264"/>
      <c r="C249" s="264" t="s">
        <v>1148</v>
      </c>
      <c r="D249" s="265" t="s">
        <v>928</v>
      </c>
      <c r="E249" s="265" t="s">
        <v>929</v>
      </c>
      <c r="F249" s="276">
        <v>806</v>
      </c>
      <c r="G249" s="276">
        <v>805</v>
      </c>
      <c r="H249" s="276">
        <v>1</v>
      </c>
    </row>
    <row r="250" spans="1:8" ht="14.1" customHeight="1" x14ac:dyDescent="0.25">
      <c r="A250" s="264" t="s">
        <v>1238</v>
      </c>
      <c r="B250" s="264"/>
      <c r="C250" s="264" t="s">
        <v>1239</v>
      </c>
      <c r="D250" s="265" t="s">
        <v>1240</v>
      </c>
      <c r="E250" s="265" t="s">
        <v>1241</v>
      </c>
      <c r="F250" s="275">
        <v>237588</v>
      </c>
      <c r="G250" s="275">
        <v>237587</v>
      </c>
      <c r="H250" s="276">
        <v>1</v>
      </c>
    </row>
    <row r="251" spans="1:8" ht="14.1" customHeight="1" x14ac:dyDescent="0.25">
      <c r="A251" s="264" t="s">
        <v>1242</v>
      </c>
      <c r="B251" s="264"/>
      <c r="C251" s="264" t="s">
        <v>996</v>
      </c>
      <c r="D251" s="265" t="s">
        <v>1137</v>
      </c>
      <c r="E251" s="265" t="s">
        <v>1138</v>
      </c>
      <c r="F251" s="275">
        <v>223925.23</v>
      </c>
      <c r="G251" s="275">
        <v>223924.23</v>
      </c>
      <c r="H251" s="276">
        <v>1</v>
      </c>
    </row>
    <row r="252" spans="1:8" ht="14.1" customHeight="1" x14ac:dyDescent="0.25">
      <c r="A252" s="264" t="s">
        <v>1243</v>
      </c>
      <c r="B252" s="264"/>
      <c r="C252" s="264" t="s">
        <v>1140</v>
      </c>
      <c r="D252" s="265" t="s">
        <v>1141</v>
      </c>
      <c r="E252" s="265" t="s">
        <v>1198</v>
      </c>
      <c r="F252" s="275">
        <v>13083.81</v>
      </c>
      <c r="G252" s="275">
        <v>2543.88</v>
      </c>
      <c r="H252" s="275">
        <v>10539.93</v>
      </c>
    </row>
    <row r="253" spans="1:8" ht="14.1" customHeight="1" x14ac:dyDescent="0.25">
      <c r="A253" s="264" t="s">
        <v>1244</v>
      </c>
      <c r="B253" s="264"/>
      <c r="C253" s="264" t="s">
        <v>1245</v>
      </c>
      <c r="D253" s="265" t="s">
        <v>882</v>
      </c>
      <c r="E253" s="265" t="s">
        <v>883</v>
      </c>
      <c r="F253" s="275">
        <v>113634</v>
      </c>
      <c r="G253" s="275">
        <v>90906.4</v>
      </c>
      <c r="H253" s="275">
        <v>22727.599999999999</v>
      </c>
    </row>
    <row r="254" spans="1:8" ht="14.1" customHeight="1" x14ac:dyDescent="0.25">
      <c r="A254" s="264" t="s">
        <v>1246</v>
      </c>
      <c r="B254" s="264"/>
      <c r="C254" s="264" t="s">
        <v>1195</v>
      </c>
      <c r="D254" s="265" t="s">
        <v>896</v>
      </c>
      <c r="E254" s="265" t="s">
        <v>883</v>
      </c>
      <c r="F254" s="275">
        <v>67484.2</v>
      </c>
      <c r="G254" s="275">
        <v>67483.199999999997</v>
      </c>
      <c r="H254" s="276">
        <v>1</v>
      </c>
    </row>
    <row r="255" spans="1:8" ht="14.1" customHeight="1" x14ac:dyDescent="0.25">
      <c r="A255" s="264" t="s">
        <v>1247</v>
      </c>
      <c r="B255" s="264"/>
      <c r="C255" s="264" t="s">
        <v>1012</v>
      </c>
      <c r="D255" s="265" t="s">
        <v>756</v>
      </c>
      <c r="E255" s="265" t="s">
        <v>1013</v>
      </c>
      <c r="F255" s="275">
        <v>3540</v>
      </c>
      <c r="G255" s="275">
        <v>2457.64</v>
      </c>
      <c r="H255" s="275">
        <v>1082.3599999999999</v>
      </c>
    </row>
    <row r="256" spans="1:8" ht="14.1" customHeight="1" x14ac:dyDescent="0.25">
      <c r="A256" s="264" t="s">
        <v>1248</v>
      </c>
      <c r="B256" s="264"/>
      <c r="C256" s="264" t="s">
        <v>1117</v>
      </c>
      <c r="D256" s="265" t="s">
        <v>756</v>
      </c>
      <c r="E256" s="265" t="s">
        <v>1016</v>
      </c>
      <c r="F256" s="275">
        <v>4002.73</v>
      </c>
      <c r="G256" s="275">
        <v>2778.98</v>
      </c>
      <c r="H256" s="275">
        <v>1223.75</v>
      </c>
    </row>
    <row r="257" spans="1:8" ht="14.1" customHeight="1" x14ac:dyDescent="0.25">
      <c r="A257" s="264" t="s">
        <v>1249</v>
      </c>
      <c r="B257" s="264"/>
      <c r="C257" s="264" t="s">
        <v>1119</v>
      </c>
      <c r="D257" s="265" t="s">
        <v>1019</v>
      </c>
      <c r="E257" s="265" t="s">
        <v>1020</v>
      </c>
      <c r="F257" s="275">
        <v>4537.1000000000004</v>
      </c>
      <c r="G257" s="275">
        <v>3150.07</v>
      </c>
      <c r="H257" s="275">
        <v>1387.03</v>
      </c>
    </row>
    <row r="258" spans="1:8" ht="14.1" customHeight="1" x14ac:dyDescent="0.25">
      <c r="A258" s="264" t="s">
        <v>1250</v>
      </c>
      <c r="B258" s="264"/>
      <c r="C258" s="264" t="s">
        <v>1006</v>
      </c>
      <c r="D258" s="265" t="s">
        <v>762</v>
      </c>
      <c r="E258" s="265" t="s">
        <v>1251</v>
      </c>
      <c r="F258" s="275">
        <v>9854.42</v>
      </c>
      <c r="G258" s="275">
        <v>9853.42</v>
      </c>
      <c r="H258" s="276">
        <v>1</v>
      </c>
    </row>
    <row r="259" spans="1:8" ht="14.1" customHeight="1" x14ac:dyDescent="0.25">
      <c r="A259" s="264" t="s">
        <v>1252</v>
      </c>
      <c r="B259" s="264"/>
      <c r="C259" s="264" t="s">
        <v>1200</v>
      </c>
      <c r="D259" s="265" t="s">
        <v>936</v>
      </c>
      <c r="E259" s="265" t="s">
        <v>1253</v>
      </c>
      <c r="F259" s="275">
        <v>13205</v>
      </c>
      <c r="G259" s="275">
        <v>13204</v>
      </c>
      <c r="H259" s="276">
        <v>1</v>
      </c>
    </row>
    <row r="260" spans="1:8" ht="14.1" customHeight="1" x14ac:dyDescent="0.25">
      <c r="A260" s="264" t="s">
        <v>1254</v>
      </c>
      <c r="B260" s="264"/>
      <c r="C260" s="264" t="s">
        <v>1025</v>
      </c>
      <c r="D260" s="265" t="s">
        <v>1026</v>
      </c>
      <c r="E260" s="265" t="s">
        <v>1027</v>
      </c>
      <c r="F260" s="275">
        <v>8318</v>
      </c>
      <c r="G260" s="275">
        <v>8317</v>
      </c>
      <c r="H260" s="276">
        <v>1</v>
      </c>
    </row>
    <row r="261" spans="1:8" ht="14.1" customHeight="1" x14ac:dyDescent="0.25">
      <c r="A261" s="264" t="s">
        <v>1255</v>
      </c>
      <c r="B261" s="264"/>
      <c r="C261" s="264" t="s">
        <v>1256</v>
      </c>
      <c r="D261" s="265" t="s">
        <v>1026</v>
      </c>
      <c r="E261" s="265" t="s">
        <v>1027</v>
      </c>
      <c r="F261" s="275">
        <v>66890</v>
      </c>
      <c r="G261" s="275">
        <v>66889</v>
      </c>
      <c r="H261" s="276">
        <v>1</v>
      </c>
    </row>
    <row r="262" spans="1:8" ht="14.1" customHeight="1" x14ac:dyDescent="0.25">
      <c r="A262" s="264" t="s">
        <v>1257</v>
      </c>
      <c r="B262" s="264"/>
      <c r="C262" s="264" t="s">
        <v>1031</v>
      </c>
      <c r="D262" s="265" t="s">
        <v>1032</v>
      </c>
      <c r="E262" s="265" t="s">
        <v>1027</v>
      </c>
      <c r="F262" s="275">
        <v>2935</v>
      </c>
      <c r="G262" s="275">
        <v>2934</v>
      </c>
      <c r="H262" s="276">
        <v>1</v>
      </c>
    </row>
    <row r="263" spans="1:8" ht="14.1" customHeight="1" x14ac:dyDescent="0.25">
      <c r="A263" s="264" t="s">
        <v>1258</v>
      </c>
      <c r="B263" s="264"/>
      <c r="C263" s="264" t="s">
        <v>1111</v>
      </c>
      <c r="D263" s="265" t="s">
        <v>1087</v>
      </c>
      <c r="E263" s="265" t="s">
        <v>1027</v>
      </c>
      <c r="F263" s="275">
        <v>36852</v>
      </c>
      <c r="G263" s="275">
        <v>36851</v>
      </c>
      <c r="H263" s="276">
        <v>1</v>
      </c>
    </row>
    <row r="264" spans="1:8" ht="14.1" customHeight="1" x14ac:dyDescent="0.25">
      <c r="A264" s="264" t="s">
        <v>1259</v>
      </c>
      <c r="B264" s="264"/>
      <c r="C264" s="264" t="s">
        <v>1221</v>
      </c>
      <c r="D264" s="265" t="s">
        <v>1222</v>
      </c>
      <c r="E264" s="265" t="s">
        <v>1223</v>
      </c>
      <c r="F264" s="275">
        <v>1811.3</v>
      </c>
      <c r="G264" s="275">
        <v>1810.3</v>
      </c>
      <c r="H264" s="276">
        <v>1</v>
      </c>
    </row>
    <row r="265" spans="1:8" ht="14.1" customHeight="1" x14ac:dyDescent="0.25">
      <c r="A265" s="264" t="s">
        <v>1260</v>
      </c>
      <c r="B265" s="264"/>
      <c r="C265" s="264" t="s">
        <v>1094</v>
      </c>
      <c r="D265" s="265" t="s">
        <v>1222</v>
      </c>
      <c r="E265" s="265" t="s">
        <v>1225</v>
      </c>
      <c r="F265" s="275">
        <v>26550</v>
      </c>
      <c r="G265" s="275">
        <v>26549</v>
      </c>
      <c r="H265" s="276">
        <v>1</v>
      </c>
    </row>
    <row r="266" spans="1:8" ht="14.1" customHeight="1" x14ac:dyDescent="0.25">
      <c r="A266" s="264" t="s">
        <v>1261</v>
      </c>
      <c r="B266" s="264"/>
      <c r="C266" s="264" t="s">
        <v>1022</v>
      </c>
      <c r="D266" s="265" t="s">
        <v>1262</v>
      </c>
      <c r="E266" s="265" t="s">
        <v>1263</v>
      </c>
      <c r="F266" s="275">
        <v>70400</v>
      </c>
      <c r="G266" s="275">
        <v>70399</v>
      </c>
      <c r="H266" s="276">
        <v>1</v>
      </c>
    </row>
    <row r="267" spans="1:8" ht="14.1" customHeight="1" x14ac:dyDescent="0.25">
      <c r="A267" s="264" t="s">
        <v>1264</v>
      </c>
      <c r="B267" s="264"/>
      <c r="C267" s="264" t="s">
        <v>1265</v>
      </c>
      <c r="D267" s="265" t="s">
        <v>1042</v>
      </c>
      <c r="E267" s="265" t="s">
        <v>1043</v>
      </c>
      <c r="F267" s="275">
        <v>59944</v>
      </c>
      <c r="G267" s="275">
        <v>59943</v>
      </c>
      <c r="H267" s="276">
        <v>1</v>
      </c>
    </row>
    <row r="268" spans="1:8" ht="14.1" customHeight="1" x14ac:dyDescent="0.25">
      <c r="A268" s="264" t="s">
        <v>1266</v>
      </c>
      <c r="B268" s="264"/>
      <c r="C268" s="264" t="s">
        <v>1267</v>
      </c>
      <c r="D268" s="265" t="s">
        <v>1137</v>
      </c>
      <c r="E268" s="265" t="s">
        <v>1138</v>
      </c>
      <c r="F268" s="275">
        <v>14934.86</v>
      </c>
      <c r="G268" s="275">
        <v>14933.86</v>
      </c>
      <c r="H268" s="276">
        <v>1</v>
      </c>
    </row>
    <row r="269" spans="1:8" s="280" customFormat="1" ht="14.1" customHeight="1" x14ac:dyDescent="0.25">
      <c r="A269" s="270" t="s">
        <v>1268</v>
      </c>
      <c r="B269" s="270"/>
      <c r="C269" s="270" t="s">
        <v>1269</v>
      </c>
      <c r="D269" s="272" t="s">
        <v>1270</v>
      </c>
      <c r="E269" s="272" t="s">
        <v>1271</v>
      </c>
      <c r="F269" s="273">
        <v>13083.81</v>
      </c>
      <c r="G269" s="273">
        <v>2543.88</v>
      </c>
      <c r="H269" s="273">
        <v>10539.93</v>
      </c>
    </row>
    <row r="270" spans="1:8" ht="14.1" customHeight="1" x14ac:dyDescent="0.25">
      <c r="A270" s="264" t="s">
        <v>1272</v>
      </c>
      <c r="B270" s="264"/>
      <c r="C270" s="264" t="s">
        <v>1273</v>
      </c>
      <c r="D270" s="265" t="s">
        <v>896</v>
      </c>
      <c r="E270" s="265" t="s">
        <v>883</v>
      </c>
      <c r="F270" s="275">
        <v>94892.65</v>
      </c>
      <c r="G270" s="275">
        <v>94891.65</v>
      </c>
      <c r="H270" s="276">
        <v>1</v>
      </c>
    </row>
    <row r="271" spans="1:8" ht="14.1" customHeight="1" x14ac:dyDescent="0.25">
      <c r="A271" s="264" t="s">
        <v>1274</v>
      </c>
      <c r="B271" s="264"/>
      <c r="C271" s="264" t="s">
        <v>1022</v>
      </c>
      <c r="D271" s="265" t="s">
        <v>1262</v>
      </c>
      <c r="E271" s="265" t="s">
        <v>1263</v>
      </c>
      <c r="F271" s="275">
        <v>70400</v>
      </c>
      <c r="G271" s="275">
        <v>70399</v>
      </c>
      <c r="H271" s="276">
        <v>1</v>
      </c>
    </row>
    <row r="272" spans="1:8" ht="14.1" customHeight="1" x14ac:dyDescent="0.25">
      <c r="A272" s="264" t="s">
        <v>1275</v>
      </c>
      <c r="B272" s="264"/>
      <c r="C272" s="264" t="s">
        <v>1002</v>
      </c>
      <c r="D272" s="265" t="s">
        <v>936</v>
      </c>
      <c r="E272" s="265" t="s">
        <v>937</v>
      </c>
      <c r="F272" s="275">
        <v>11744</v>
      </c>
      <c r="G272" s="275">
        <v>11743</v>
      </c>
      <c r="H272" s="276">
        <v>1</v>
      </c>
    </row>
    <row r="273" spans="1:8" ht="14.1" customHeight="1" x14ac:dyDescent="0.25">
      <c r="A273" s="264" t="s">
        <v>1276</v>
      </c>
      <c r="B273" s="264"/>
      <c r="C273" s="264" t="s">
        <v>1006</v>
      </c>
      <c r="D273" s="265" t="s">
        <v>1277</v>
      </c>
      <c r="E273" s="265" t="s">
        <v>1241</v>
      </c>
      <c r="F273" s="275">
        <v>20600</v>
      </c>
      <c r="G273" s="275">
        <v>20599</v>
      </c>
      <c r="H273" s="276">
        <v>1</v>
      </c>
    </row>
    <row r="274" spans="1:8" ht="14.1" customHeight="1" x14ac:dyDescent="0.25">
      <c r="A274" s="264" t="s">
        <v>1278</v>
      </c>
      <c r="B274" s="264"/>
      <c r="C274" s="264" t="s">
        <v>1279</v>
      </c>
      <c r="D274" s="265" t="s">
        <v>1009</v>
      </c>
      <c r="E274" s="265" t="s">
        <v>1010</v>
      </c>
      <c r="F274" s="275">
        <v>10100</v>
      </c>
      <c r="G274" s="275">
        <v>8135.3</v>
      </c>
      <c r="H274" s="275">
        <v>1964.7</v>
      </c>
    </row>
    <row r="275" spans="1:8" ht="14.1" customHeight="1" x14ac:dyDescent="0.25">
      <c r="A275" s="264" t="s">
        <v>1280</v>
      </c>
      <c r="B275" s="264"/>
      <c r="C275" s="264" t="s">
        <v>1122</v>
      </c>
      <c r="D275" s="265" t="s">
        <v>960</v>
      </c>
      <c r="E275" s="265" t="s">
        <v>1123</v>
      </c>
      <c r="F275" s="275">
        <v>116348</v>
      </c>
      <c r="G275" s="275">
        <v>58173.5</v>
      </c>
      <c r="H275" s="275">
        <v>58174.5</v>
      </c>
    </row>
    <row r="276" spans="1:8" ht="14.1" customHeight="1" x14ac:dyDescent="0.25">
      <c r="A276" s="264" t="s">
        <v>1281</v>
      </c>
      <c r="B276" s="264"/>
      <c r="C276" s="264" t="s">
        <v>1282</v>
      </c>
      <c r="D276" s="265" t="s">
        <v>1283</v>
      </c>
      <c r="E276" s="265" t="s">
        <v>1284</v>
      </c>
      <c r="F276" s="275">
        <v>174624.73</v>
      </c>
      <c r="G276" s="275">
        <v>87311.86</v>
      </c>
      <c r="H276" s="275">
        <v>87312.87</v>
      </c>
    </row>
    <row r="277" spans="1:8" ht="14.1" customHeight="1" x14ac:dyDescent="0.25">
      <c r="A277" s="264" t="s">
        <v>1285</v>
      </c>
      <c r="B277" s="264"/>
      <c r="C277" s="264" t="s">
        <v>1101</v>
      </c>
      <c r="D277" s="265" t="s">
        <v>1286</v>
      </c>
      <c r="E277" s="265" t="s">
        <v>1103</v>
      </c>
      <c r="F277" s="275">
        <v>1344</v>
      </c>
      <c r="G277" s="276">
        <v>111.92</v>
      </c>
      <c r="H277" s="275">
        <v>1232.08</v>
      </c>
    </row>
    <row r="278" spans="1:8" ht="14.1" customHeight="1" x14ac:dyDescent="0.25">
      <c r="A278" s="264" t="s">
        <v>1287</v>
      </c>
      <c r="B278" s="264"/>
      <c r="C278" s="264" t="s">
        <v>1022</v>
      </c>
      <c r="D278" s="265" t="s">
        <v>928</v>
      </c>
      <c r="E278" s="265" t="s">
        <v>778</v>
      </c>
      <c r="F278" s="275">
        <v>51737.1</v>
      </c>
      <c r="G278" s="275">
        <v>51736.1</v>
      </c>
      <c r="H278" s="276">
        <v>1</v>
      </c>
    </row>
    <row r="279" spans="1:8" ht="14.1" customHeight="1" x14ac:dyDescent="0.25">
      <c r="A279" s="264" t="s">
        <v>1288</v>
      </c>
      <c r="B279" s="264"/>
      <c r="C279" s="264" t="s">
        <v>1006</v>
      </c>
      <c r="D279" s="265" t="s">
        <v>782</v>
      </c>
      <c r="E279" s="265" t="s">
        <v>929</v>
      </c>
      <c r="F279" s="275">
        <v>6640</v>
      </c>
      <c r="G279" s="275">
        <v>6639</v>
      </c>
      <c r="H279" s="276">
        <v>1</v>
      </c>
    </row>
    <row r="280" spans="1:8" ht="14.1" customHeight="1" x14ac:dyDescent="0.25">
      <c r="A280" s="264" t="s">
        <v>1289</v>
      </c>
      <c r="B280" s="264"/>
      <c r="C280" s="264" t="s">
        <v>1148</v>
      </c>
      <c r="D280" s="265" t="s">
        <v>928</v>
      </c>
      <c r="E280" s="265" t="s">
        <v>929</v>
      </c>
      <c r="F280" s="276">
        <v>756</v>
      </c>
      <c r="G280" s="276">
        <v>755</v>
      </c>
      <c r="H280" s="276">
        <v>1</v>
      </c>
    </row>
    <row r="281" spans="1:8" ht="14.1" customHeight="1" x14ac:dyDescent="0.25">
      <c r="A281" s="264" t="s">
        <v>1290</v>
      </c>
      <c r="B281" s="264"/>
      <c r="C281" s="264" t="s">
        <v>1002</v>
      </c>
      <c r="D281" s="265" t="s">
        <v>928</v>
      </c>
      <c r="E281" s="265" t="s">
        <v>929</v>
      </c>
      <c r="F281" s="275">
        <v>3929.4</v>
      </c>
      <c r="G281" s="275">
        <v>3928.4</v>
      </c>
      <c r="H281" s="276">
        <v>1</v>
      </c>
    </row>
    <row r="282" spans="1:8" ht="14.1" customHeight="1" x14ac:dyDescent="0.25">
      <c r="A282" s="264" t="s">
        <v>1291</v>
      </c>
      <c r="B282" s="264"/>
      <c r="C282" s="264" t="s">
        <v>1022</v>
      </c>
      <c r="D282" s="265" t="s">
        <v>928</v>
      </c>
      <c r="E282" s="265" t="s">
        <v>929</v>
      </c>
      <c r="F282" s="275">
        <v>51737.1</v>
      </c>
      <c r="G282" s="275">
        <v>51736.1</v>
      </c>
      <c r="H282" s="276">
        <v>1</v>
      </c>
    </row>
    <row r="283" spans="1:8" ht="14.1" customHeight="1" x14ac:dyDescent="0.25">
      <c r="A283" s="264" t="s">
        <v>1292</v>
      </c>
      <c r="B283" s="264"/>
      <c r="C283" s="264" t="s">
        <v>1006</v>
      </c>
      <c r="D283" s="265" t="s">
        <v>874</v>
      </c>
      <c r="E283" s="265" t="s">
        <v>929</v>
      </c>
      <c r="F283" s="275">
        <v>7439.9</v>
      </c>
      <c r="G283" s="275">
        <v>7438.9</v>
      </c>
      <c r="H283" s="276">
        <v>1</v>
      </c>
    </row>
    <row r="284" spans="1:8" ht="14.1" customHeight="1" x14ac:dyDescent="0.25">
      <c r="A284" s="264" t="s">
        <v>1293</v>
      </c>
      <c r="B284" s="264"/>
      <c r="C284" s="264" t="s">
        <v>1071</v>
      </c>
      <c r="D284" s="265" t="s">
        <v>756</v>
      </c>
      <c r="E284" s="265" t="s">
        <v>1013</v>
      </c>
      <c r="F284" s="275">
        <v>5310</v>
      </c>
      <c r="G284" s="275">
        <v>3686.81</v>
      </c>
      <c r="H284" s="275">
        <v>1623.2</v>
      </c>
    </row>
    <row r="285" spans="1:8" ht="14.1" customHeight="1" x14ac:dyDescent="0.25">
      <c r="A285" s="264" t="s">
        <v>1294</v>
      </c>
      <c r="B285" s="264"/>
      <c r="C285" s="264" t="s">
        <v>1012</v>
      </c>
      <c r="D285" s="265" t="s">
        <v>756</v>
      </c>
      <c r="E285" s="265" t="s">
        <v>1013</v>
      </c>
      <c r="F285" s="275">
        <v>3540</v>
      </c>
      <c r="G285" s="275">
        <v>2457.64</v>
      </c>
      <c r="H285" s="275">
        <v>1082.3599999999999</v>
      </c>
    </row>
    <row r="286" spans="1:8" ht="14.1" customHeight="1" x14ac:dyDescent="0.25">
      <c r="A286" s="264" t="s">
        <v>1295</v>
      </c>
      <c r="B286" s="264"/>
      <c r="C286" s="264" t="s">
        <v>1117</v>
      </c>
      <c r="D286" s="265" t="s">
        <v>756</v>
      </c>
      <c r="E286" s="265" t="s">
        <v>1016</v>
      </c>
      <c r="F286" s="275">
        <v>4002.73</v>
      </c>
      <c r="G286" s="275">
        <v>2778.98</v>
      </c>
      <c r="H286" s="275">
        <v>1223.75</v>
      </c>
    </row>
    <row r="287" spans="1:8" ht="14.1" customHeight="1" x14ac:dyDescent="0.25">
      <c r="A287" s="264" t="s">
        <v>1296</v>
      </c>
      <c r="B287" s="264"/>
      <c r="C287" s="264" t="s">
        <v>1119</v>
      </c>
      <c r="D287" s="265" t="s">
        <v>1019</v>
      </c>
      <c r="E287" s="265" t="s">
        <v>1020</v>
      </c>
      <c r="F287" s="275">
        <v>4537.1000000000004</v>
      </c>
      <c r="G287" s="275">
        <v>3150.07</v>
      </c>
      <c r="H287" s="275">
        <v>1387.03</v>
      </c>
    </row>
    <row r="288" spans="1:8" ht="14.1" customHeight="1" x14ac:dyDescent="0.25">
      <c r="A288" s="264" t="s">
        <v>1297</v>
      </c>
      <c r="B288" s="264"/>
      <c r="C288" s="264" t="s">
        <v>1298</v>
      </c>
      <c r="D288" s="265" t="s">
        <v>1026</v>
      </c>
      <c r="E288" s="265" t="s">
        <v>1027</v>
      </c>
      <c r="F288" s="275">
        <v>7400</v>
      </c>
      <c r="G288" s="275">
        <v>7399</v>
      </c>
      <c r="H288" s="276">
        <v>1</v>
      </c>
    </row>
    <row r="289" spans="1:8" ht="14.1" customHeight="1" x14ac:dyDescent="0.25">
      <c r="A289" s="264" t="s">
        <v>1299</v>
      </c>
      <c r="B289" s="264"/>
      <c r="C289" s="264" t="s">
        <v>1256</v>
      </c>
      <c r="D289" s="265" t="s">
        <v>1026</v>
      </c>
      <c r="E289" s="265" t="s">
        <v>1027</v>
      </c>
      <c r="F289" s="275">
        <v>66890</v>
      </c>
      <c r="G289" s="275">
        <v>66889</v>
      </c>
      <c r="H289" s="276">
        <v>1</v>
      </c>
    </row>
    <row r="290" spans="1:8" ht="14.1" customHeight="1" x14ac:dyDescent="0.25">
      <c r="A290" s="264" t="s">
        <v>1300</v>
      </c>
      <c r="B290" s="264"/>
      <c r="C290" s="264" t="s">
        <v>1031</v>
      </c>
      <c r="D290" s="265" t="s">
        <v>1032</v>
      </c>
      <c r="E290" s="265" t="s">
        <v>1027</v>
      </c>
      <c r="F290" s="275">
        <v>2935</v>
      </c>
      <c r="G290" s="275">
        <v>2934</v>
      </c>
      <c r="H290" s="276">
        <v>1</v>
      </c>
    </row>
    <row r="291" spans="1:8" ht="14.1" customHeight="1" x14ac:dyDescent="0.25">
      <c r="A291" s="264" t="s">
        <v>1301</v>
      </c>
      <c r="B291" s="264"/>
      <c r="C291" s="264" t="s">
        <v>1111</v>
      </c>
      <c r="D291" s="265" t="s">
        <v>1087</v>
      </c>
      <c r="E291" s="265" t="s">
        <v>1027</v>
      </c>
      <c r="F291" s="275">
        <v>36852</v>
      </c>
      <c r="G291" s="275">
        <v>36851</v>
      </c>
      <c r="H291" s="276">
        <v>1</v>
      </c>
    </row>
    <row r="292" spans="1:8" ht="14.1" customHeight="1" x14ac:dyDescent="0.25">
      <c r="A292" s="264" t="s">
        <v>1302</v>
      </c>
      <c r="B292" s="264"/>
      <c r="C292" s="264" t="s">
        <v>1094</v>
      </c>
      <c r="D292" s="265" t="s">
        <v>1222</v>
      </c>
      <c r="E292" s="265" t="s">
        <v>1225</v>
      </c>
      <c r="F292" s="275">
        <v>26550</v>
      </c>
      <c r="G292" s="275">
        <v>26549</v>
      </c>
      <c r="H292" s="276">
        <v>1</v>
      </c>
    </row>
    <row r="293" spans="1:8" ht="14.1" customHeight="1" x14ac:dyDescent="0.25">
      <c r="A293" s="264" t="s">
        <v>1303</v>
      </c>
      <c r="B293" s="264"/>
      <c r="C293" s="264" t="s">
        <v>1101</v>
      </c>
      <c r="D293" s="265" t="s">
        <v>1102</v>
      </c>
      <c r="E293" s="265" t="s">
        <v>1103</v>
      </c>
      <c r="F293" s="275">
        <v>1344</v>
      </c>
      <c r="G293" s="276">
        <v>111.92</v>
      </c>
      <c r="H293" s="275">
        <v>1232.08</v>
      </c>
    </row>
    <row r="294" spans="1:8" ht="14.1" customHeight="1" x14ac:dyDescent="0.25">
      <c r="A294" s="264" t="s">
        <v>1304</v>
      </c>
      <c r="B294" s="264"/>
      <c r="C294" s="264" t="s">
        <v>1279</v>
      </c>
      <c r="D294" s="265" t="s">
        <v>1009</v>
      </c>
      <c r="E294" s="265" t="s">
        <v>1010</v>
      </c>
      <c r="F294" s="275">
        <v>10099.99</v>
      </c>
      <c r="G294" s="275">
        <v>8135.3</v>
      </c>
      <c r="H294" s="275">
        <v>1964.69</v>
      </c>
    </row>
    <row r="295" spans="1:8" ht="14.1" customHeight="1" x14ac:dyDescent="0.25">
      <c r="A295" s="264" t="s">
        <v>1305</v>
      </c>
      <c r="B295" s="264"/>
      <c r="C295" s="264" t="s">
        <v>1122</v>
      </c>
      <c r="D295" s="265" t="s">
        <v>960</v>
      </c>
      <c r="E295" s="265" t="s">
        <v>1123</v>
      </c>
      <c r="F295" s="275">
        <v>116348</v>
      </c>
      <c r="G295" s="275">
        <v>58173.5</v>
      </c>
      <c r="H295" s="275">
        <v>58174.5</v>
      </c>
    </row>
    <row r="296" spans="1:8" ht="14.1" customHeight="1" x14ac:dyDescent="0.25">
      <c r="A296" s="264" t="s">
        <v>1306</v>
      </c>
      <c r="B296" s="264"/>
      <c r="C296" s="264" t="s">
        <v>1144</v>
      </c>
      <c r="D296" s="265" t="s">
        <v>964</v>
      </c>
      <c r="E296" s="265" t="s">
        <v>965</v>
      </c>
      <c r="F296" s="275">
        <v>14054.04</v>
      </c>
      <c r="G296" s="275">
        <v>5074.71</v>
      </c>
      <c r="H296" s="275">
        <v>8979.33</v>
      </c>
    </row>
    <row r="297" spans="1:8" ht="14.1" customHeight="1" x14ac:dyDescent="0.25">
      <c r="A297" s="264" t="s">
        <v>1307</v>
      </c>
      <c r="B297" s="264"/>
      <c r="C297" s="264" t="s">
        <v>1047</v>
      </c>
      <c r="D297" s="265" t="s">
        <v>762</v>
      </c>
      <c r="E297" s="265" t="s">
        <v>1308</v>
      </c>
      <c r="F297" s="275">
        <v>5003.2</v>
      </c>
      <c r="G297" s="275">
        <v>5002.2</v>
      </c>
      <c r="H297" s="276">
        <v>1</v>
      </c>
    </row>
    <row r="298" spans="1:8" ht="14.1" customHeight="1" x14ac:dyDescent="0.25">
      <c r="A298" s="264" t="s">
        <v>1309</v>
      </c>
      <c r="B298" s="264"/>
      <c r="C298" s="264" t="s">
        <v>1186</v>
      </c>
      <c r="D298" s="265" t="s">
        <v>1042</v>
      </c>
      <c r="E298" s="265" t="s">
        <v>1043</v>
      </c>
      <c r="F298" s="275">
        <v>7316</v>
      </c>
      <c r="G298" s="275">
        <v>7315</v>
      </c>
      <c r="H298" s="276">
        <v>1</v>
      </c>
    </row>
    <row r="299" spans="1:8" ht="14.1" customHeight="1" x14ac:dyDescent="0.25">
      <c r="A299" s="264" t="s">
        <v>1310</v>
      </c>
      <c r="B299" s="264"/>
      <c r="C299" s="264" t="s">
        <v>1047</v>
      </c>
      <c r="D299" s="265" t="s">
        <v>1277</v>
      </c>
      <c r="E299" s="265" t="s">
        <v>1241</v>
      </c>
      <c r="F299" s="275">
        <v>6550</v>
      </c>
      <c r="G299" s="275">
        <v>6549</v>
      </c>
      <c r="H299" s="276">
        <v>1</v>
      </c>
    </row>
    <row r="300" spans="1:8" ht="14.1" customHeight="1" x14ac:dyDescent="0.25">
      <c r="A300" s="264" t="s">
        <v>1311</v>
      </c>
      <c r="B300" s="264"/>
      <c r="C300" s="264" t="s">
        <v>1267</v>
      </c>
      <c r="D300" s="265" t="s">
        <v>1137</v>
      </c>
      <c r="E300" s="265" t="s">
        <v>1138</v>
      </c>
      <c r="F300" s="275">
        <v>14934.86</v>
      </c>
      <c r="G300" s="275">
        <v>14933.86</v>
      </c>
      <c r="H300" s="276">
        <v>1</v>
      </c>
    </row>
    <row r="301" spans="1:8" ht="14.1" customHeight="1" x14ac:dyDescent="0.25">
      <c r="A301" s="264" t="s">
        <v>1312</v>
      </c>
      <c r="B301" s="264"/>
      <c r="C301" s="264" t="s">
        <v>1140</v>
      </c>
      <c r="D301" s="265" t="s">
        <v>1141</v>
      </c>
      <c r="E301" s="265" t="s">
        <v>1198</v>
      </c>
      <c r="F301" s="275">
        <v>13083.81</v>
      </c>
      <c r="G301" s="275">
        <v>2543.88</v>
      </c>
      <c r="H301" s="275">
        <v>10539.93</v>
      </c>
    </row>
    <row r="302" spans="1:8" ht="14.1" customHeight="1" x14ac:dyDescent="0.25">
      <c r="A302" s="264" t="s">
        <v>1313</v>
      </c>
      <c r="B302" s="264"/>
      <c r="C302" s="264" t="s">
        <v>1146</v>
      </c>
      <c r="D302" s="265" t="s">
        <v>928</v>
      </c>
      <c r="E302" s="265" t="s">
        <v>778</v>
      </c>
      <c r="F302" s="275">
        <v>46940.4</v>
      </c>
      <c r="G302" s="275">
        <v>46939.4</v>
      </c>
      <c r="H302" s="276">
        <v>1</v>
      </c>
    </row>
    <row r="303" spans="1:8" ht="14.1" customHeight="1" x14ac:dyDescent="0.25">
      <c r="A303" s="264" t="s">
        <v>1314</v>
      </c>
      <c r="B303" s="264"/>
      <c r="C303" s="264" t="s">
        <v>1148</v>
      </c>
      <c r="D303" s="265" t="s">
        <v>1149</v>
      </c>
      <c r="E303" s="265" t="s">
        <v>929</v>
      </c>
      <c r="F303" s="276">
        <v>756</v>
      </c>
      <c r="G303" s="276">
        <v>755</v>
      </c>
      <c r="H303" s="276">
        <v>1</v>
      </c>
    </row>
    <row r="304" spans="1:8" ht="14.1" customHeight="1" x14ac:dyDescent="0.25">
      <c r="A304" s="264" t="s">
        <v>1315</v>
      </c>
      <c r="B304" s="264"/>
      <c r="C304" s="264" t="s">
        <v>1051</v>
      </c>
      <c r="D304" s="265" t="s">
        <v>928</v>
      </c>
      <c r="E304" s="265" t="s">
        <v>929</v>
      </c>
      <c r="F304" s="275">
        <v>30861.07</v>
      </c>
      <c r="G304" s="275">
        <v>30860.07</v>
      </c>
      <c r="H304" s="276">
        <v>1</v>
      </c>
    </row>
    <row r="305" spans="1:8" ht="14.1" customHeight="1" x14ac:dyDescent="0.25">
      <c r="A305" s="264" t="s">
        <v>1316</v>
      </c>
      <c r="B305" s="264"/>
      <c r="C305" s="264" t="s">
        <v>1051</v>
      </c>
      <c r="D305" s="265" t="s">
        <v>928</v>
      </c>
      <c r="E305" s="265" t="s">
        <v>929</v>
      </c>
      <c r="F305" s="275">
        <v>30861.07</v>
      </c>
      <c r="G305" s="275">
        <v>30860.07</v>
      </c>
      <c r="H305" s="276">
        <v>1</v>
      </c>
    </row>
    <row r="306" spans="1:8" ht="14.1" customHeight="1" x14ac:dyDescent="0.25">
      <c r="A306" s="264" t="s">
        <v>1317</v>
      </c>
      <c r="B306" s="264"/>
      <c r="C306" s="264" t="s">
        <v>1051</v>
      </c>
      <c r="D306" s="265" t="s">
        <v>928</v>
      </c>
      <c r="E306" s="265" t="s">
        <v>929</v>
      </c>
      <c r="F306" s="275">
        <v>30861.07</v>
      </c>
      <c r="G306" s="275">
        <v>30860.07</v>
      </c>
      <c r="H306" s="276">
        <v>1</v>
      </c>
    </row>
    <row r="307" spans="1:8" ht="18.399999999999999" customHeight="1" x14ac:dyDescent="0.25">
      <c r="A307" s="264" t="s">
        <v>1318</v>
      </c>
      <c r="B307" s="264"/>
      <c r="C307" s="264" t="s">
        <v>1051</v>
      </c>
      <c r="D307" s="265" t="s">
        <v>928</v>
      </c>
      <c r="E307" s="265" t="s">
        <v>929</v>
      </c>
      <c r="F307" s="275">
        <v>31029</v>
      </c>
      <c r="G307" s="275">
        <v>31028</v>
      </c>
      <c r="H307" s="276">
        <v>1</v>
      </c>
    </row>
    <row r="308" spans="1:8" ht="14.1" customHeight="1" x14ac:dyDescent="0.25">
      <c r="A308" s="270" t="s">
        <v>1319</v>
      </c>
      <c r="B308" s="270"/>
      <c r="C308" s="271" t="s">
        <v>1155</v>
      </c>
      <c r="D308" s="272" t="s">
        <v>1156</v>
      </c>
      <c r="E308" s="272" t="s">
        <v>1157</v>
      </c>
      <c r="F308" s="273">
        <v>51737.1</v>
      </c>
      <c r="G308" s="273">
        <v>51736.1</v>
      </c>
      <c r="H308" s="278">
        <v>1</v>
      </c>
    </row>
    <row r="309" spans="1:8" ht="14.1" customHeight="1" x14ac:dyDescent="0.25">
      <c r="A309" s="264" t="s">
        <v>1320</v>
      </c>
      <c r="B309" s="264"/>
      <c r="C309" s="274" t="s">
        <v>1148</v>
      </c>
      <c r="D309" s="265" t="s">
        <v>874</v>
      </c>
      <c r="E309" s="265" t="s">
        <v>929</v>
      </c>
      <c r="F309" s="276">
        <v>756</v>
      </c>
      <c r="G309" s="276">
        <v>755</v>
      </c>
      <c r="H309" s="276">
        <v>1</v>
      </c>
    </row>
    <row r="310" spans="1:8" ht="14.1" customHeight="1" x14ac:dyDescent="0.25">
      <c r="A310" s="264" t="s">
        <v>1321</v>
      </c>
      <c r="B310" s="264"/>
      <c r="C310" s="274" t="s">
        <v>1047</v>
      </c>
      <c r="D310" s="265" t="s">
        <v>1322</v>
      </c>
      <c r="E310" s="265" t="s">
        <v>1323</v>
      </c>
      <c r="F310" s="275">
        <v>14691</v>
      </c>
      <c r="G310" s="275">
        <v>14690</v>
      </c>
      <c r="H310" s="276">
        <v>1</v>
      </c>
    </row>
    <row r="311" spans="1:8" ht="14.1" customHeight="1" x14ac:dyDescent="0.25">
      <c r="A311" s="264" t="s">
        <v>1324</v>
      </c>
      <c r="B311" s="264"/>
      <c r="C311" s="274" t="s">
        <v>1113</v>
      </c>
      <c r="D311" s="265" t="s">
        <v>1114</v>
      </c>
      <c r="E311" s="265" t="s">
        <v>871</v>
      </c>
      <c r="F311" s="275">
        <v>16402</v>
      </c>
      <c r="G311" s="275">
        <v>11389.58</v>
      </c>
      <c r="H311" s="275">
        <v>5012.42</v>
      </c>
    </row>
    <row r="312" spans="1:8" ht="14.1" customHeight="1" x14ac:dyDescent="0.25">
      <c r="A312" s="264" t="s">
        <v>1325</v>
      </c>
      <c r="B312" s="264"/>
      <c r="C312" s="274" t="s">
        <v>1071</v>
      </c>
      <c r="D312" s="265" t="s">
        <v>756</v>
      </c>
      <c r="E312" s="265" t="s">
        <v>1013</v>
      </c>
      <c r="F312" s="275">
        <v>5310</v>
      </c>
      <c r="G312" s="275">
        <v>3686.81</v>
      </c>
      <c r="H312" s="275">
        <v>1623.2</v>
      </c>
    </row>
    <row r="313" spans="1:8" ht="14.1" customHeight="1" x14ac:dyDescent="0.25">
      <c r="A313" s="264" t="s">
        <v>1326</v>
      </c>
      <c r="B313" s="264"/>
      <c r="C313" s="274" t="s">
        <v>1012</v>
      </c>
      <c r="D313" s="265" t="s">
        <v>756</v>
      </c>
      <c r="E313" s="265" t="s">
        <v>1013</v>
      </c>
      <c r="F313" s="275">
        <v>3540</v>
      </c>
      <c r="G313" s="275">
        <v>2457.64</v>
      </c>
      <c r="H313" s="275">
        <v>1082.3599999999999</v>
      </c>
    </row>
    <row r="314" spans="1:8" ht="14.1" customHeight="1" x14ac:dyDescent="0.25">
      <c r="A314" s="264" t="s">
        <v>1327</v>
      </c>
      <c r="B314" s="264"/>
      <c r="C314" s="274" t="s">
        <v>1117</v>
      </c>
      <c r="D314" s="265" t="s">
        <v>756</v>
      </c>
      <c r="E314" s="265" t="s">
        <v>1016</v>
      </c>
      <c r="F314" s="275">
        <v>4002.73</v>
      </c>
      <c r="G314" s="275">
        <v>2778.98</v>
      </c>
      <c r="H314" s="275">
        <v>1223.75</v>
      </c>
    </row>
    <row r="315" spans="1:8" ht="14.1" customHeight="1" x14ac:dyDescent="0.25">
      <c r="A315" s="264" t="s">
        <v>1328</v>
      </c>
      <c r="B315" s="264"/>
      <c r="C315" s="274" t="s">
        <v>1119</v>
      </c>
      <c r="D315" s="265" t="s">
        <v>1019</v>
      </c>
      <c r="E315" s="265" t="s">
        <v>1020</v>
      </c>
      <c r="F315" s="275">
        <v>4537.1000000000004</v>
      </c>
      <c r="G315" s="275">
        <v>3150.07</v>
      </c>
      <c r="H315" s="275">
        <v>1387.03</v>
      </c>
    </row>
    <row r="316" spans="1:8" ht="14.1" customHeight="1" x14ac:dyDescent="0.25">
      <c r="A316" s="264" t="s">
        <v>1329</v>
      </c>
      <c r="B316" s="264"/>
      <c r="C316" s="274" t="s">
        <v>1106</v>
      </c>
      <c r="D316" s="265" t="s">
        <v>1330</v>
      </c>
      <c r="E316" s="265" t="s">
        <v>1027</v>
      </c>
      <c r="F316" s="275">
        <v>4010.01</v>
      </c>
      <c r="G316" s="275">
        <v>4009.01</v>
      </c>
      <c r="H316" s="276">
        <v>1</v>
      </c>
    </row>
    <row r="317" spans="1:8" ht="14.1" customHeight="1" x14ac:dyDescent="0.25">
      <c r="A317" s="264" t="s">
        <v>1331</v>
      </c>
      <c r="B317" s="264"/>
      <c r="C317" s="274" t="s">
        <v>1108</v>
      </c>
      <c r="D317" s="265" t="s">
        <v>1026</v>
      </c>
      <c r="E317" s="265" t="s">
        <v>1027</v>
      </c>
      <c r="F317" s="275">
        <v>7400</v>
      </c>
      <c r="G317" s="275">
        <v>7399</v>
      </c>
      <c r="H317" s="276">
        <v>1</v>
      </c>
    </row>
    <row r="318" spans="1:8" ht="14.1" customHeight="1" x14ac:dyDescent="0.25">
      <c r="A318" s="264" t="s">
        <v>1332</v>
      </c>
      <c r="B318" s="264"/>
      <c r="C318" s="274" t="s">
        <v>1333</v>
      </c>
      <c r="D318" s="265" t="s">
        <v>1032</v>
      </c>
      <c r="E318" s="265" t="s">
        <v>1027</v>
      </c>
      <c r="F318" s="275">
        <v>9685.99</v>
      </c>
      <c r="G318" s="275">
        <v>9684.99</v>
      </c>
      <c r="H318" s="276">
        <v>1</v>
      </c>
    </row>
    <row r="319" spans="1:8" ht="14.1" customHeight="1" x14ac:dyDescent="0.25">
      <c r="A319" s="264" t="s">
        <v>1334</v>
      </c>
      <c r="B319" s="264"/>
      <c r="C319" s="274" t="s">
        <v>1031</v>
      </c>
      <c r="D319" s="265" t="s">
        <v>1032</v>
      </c>
      <c r="E319" s="265" t="s">
        <v>1027</v>
      </c>
      <c r="F319" s="275">
        <v>2935</v>
      </c>
      <c r="G319" s="275">
        <v>2934</v>
      </c>
      <c r="H319" s="276">
        <v>1</v>
      </c>
    </row>
    <row r="320" spans="1:8" ht="14.1" customHeight="1" x14ac:dyDescent="0.25">
      <c r="A320" s="264" t="s">
        <v>1335</v>
      </c>
      <c r="B320" s="264"/>
      <c r="C320" s="274" t="s">
        <v>1111</v>
      </c>
      <c r="D320" s="265" t="s">
        <v>1087</v>
      </c>
      <c r="E320" s="265" t="s">
        <v>1027</v>
      </c>
      <c r="F320" s="275">
        <v>38599.99</v>
      </c>
      <c r="G320" s="275">
        <v>38598.99</v>
      </c>
      <c r="H320" s="276">
        <v>1</v>
      </c>
    </row>
    <row r="321" spans="1:8" ht="14.1" customHeight="1" x14ac:dyDescent="0.25">
      <c r="A321" s="264" t="s">
        <v>1336</v>
      </c>
      <c r="B321" s="264"/>
      <c r="C321" s="274" t="s">
        <v>1221</v>
      </c>
      <c r="D321" s="265" t="s">
        <v>1222</v>
      </c>
      <c r="E321" s="265" t="s">
        <v>1223</v>
      </c>
      <c r="F321" s="275">
        <v>1811.3</v>
      </c>
      <c r="G321" s="275">
        <v>1810.3</v>
      </c>
      <c r="H321" s="276">
        <v>1</v>
      </c>
    </row>
    <row r="322" spans="1:8" ht="14.1" customHeight="1" x14ac:dyDescent="0.25">
      <c r="A322" s="264" t="s">
        <v>1337</v>
      </c>
      <c r="B322" s="264"/>
      <c r="C322" s="274" t="s">
        <v>1047</v>
      </c>
      <c r="D322" s="265" t="s">
        <v>1222</v>
      </c>
      <c r="E322" s="265" t="s">
        <v>1225</v>
      </c>
      <c r="F322" s="275">
        <v>4714.1000000000004</v>
      </c>
      <c r="G322" s="275">
        <v>4713.1000000000004</v>
      </c>
      <c r="H322" s="276">
        <v>1</v>
      </c>
    </row>
    <row r="323" spans="1:8" ht="21.2" customHeight="1" x14ac:dyDescent="0.25">
      <c r="A323" s="264" t="s">
        <v>1338</v>
      </c>
      <c r="B323" s="264"/>
      <c r="C323" s="274" t="s">
        <v>1022</v>
      </c>
      <c r="D323" s="265" t="s">
        <v>1262</v>
      </c>
      <c r="E323" s="265" t="s">
        <v>1263</v>
      </c>
      <c r="F323" s="275">
        <v>70400</v>
      </c>
      <c r="G323" s="275">
        <v>70399</v>
      </c>
      <c r="H323" s="276">
        <v>1</v>
      </c>
    </row>
    <row r="324" spans="1:8" ht="21.2" customHeight="1" x14ac:dyDescent="0.25">
      <c r="A324" s="268" t="s">
        <v>1339</v>
      </c>
      <c r="B324" s="268"/>
      <c r="C324" s="268"/>
      <c r="D324" s="268"/>
      <c r="E324" s="268"/>
      <c r="F324" s="277">
        <v>29500</v>
      </c>
      <c r="G324" s="277">
        <v>23599.200000000001</v>
      </c>
      <c r="H324" s="277">
        <v>5900.8</v>
      </c>
    </row>
    <row r="325" spans="1:8" ht="21.2" customHeight="1" x14ac:dyDescent="0.25">
      <c r="A325" s="264" t="s">
        <v>1340</v>
      </c>
      <c r="B325" s="264"/>
      <c r="C325" s="274" t="s">
        <v>1341</v>
      </c>
      <c r="D325" s="265" t="s">
        <v>882</v>
      </c>
      <c r="E325" s="265" t="s">
        <v>883</v>
      </c>
      <c r="F325" s="275">
        <v>29500</v>
      </c>
      <c r="G325" s="275">
        <v>23599.200000000001</v>
      </c>
      <c r="H325" s="275">
        <v>5900.8</v>
      </c>
    </row>
    <row r="326" spans="1:8" ht="21.2" customHeight="1" x14ac:dyDescent="0.25">
      <c r="A326" s="268" t="s">
        <v>1342</v>
      </c>
      <c r="B326" s="268"/>
      <c r="C326" s="268"/>
      <c r="D326" s="268"/>
      <c r="E326" s="268"/>
      <c r="F326" s="277">
        <v>24019.75</v>
      </c>
      <c r="G326" s="277">
        <v>2802.19</v>
      </c>
      <c r="H326" s="277">
        <v>21217.56</v>
      </c>
    </row>
    <row r="327" spans="1:8" ht="21.2" customHeight="1" x14ac:dyDescent="0.25">
      <c r="A327" s="264" t="s">
        <v>1343</v>
      </c>
      <c r="B327" s="264"/>
      <c r="C327" s="274" t="s">
        <v>1344</v>
      </c>
      <c r="D327" s="265" t="s">
        <v>1345</v>
      </c>
      <c r="E327" s="265" t="s">
        <v>1346</v>
      </c>
      <c r="F327" s="275">
        <v>24019.75</v>
      </c>
      <c r="G327" s="275">
        <v>2802.19</v>
      </c>
      <c r="H327" s="275">
        <v>21217.56</v>
      </c>
    </row>
    <row r="328" spans="1:8" ht="21.2" customHeight="1" x14ac:dyDescent="0.25">
      <c r="A328" s="268" t="s">
        <v>1347</v>
      </c>
      <c r="B328" s="268"/>
      <c r="C328" s="268"/>
      <c r="D328" s="268"/>
      <c r="E328" s="268"/>
      <c r="F328" s="277">
        <v>16168</v>
      </c>
      <c r="G328" s="277">
        <v>5624.19</v>
      </c>
      <c r="H328" s="277">
        <v>10543.81</v>
      </c>
    </row>
    <row r="329" spans="1:8" ht="14.1" customHeight="1" x14ac:dyDescent="0.25">
      <c r="A329" s="264" t="s">
        <v>1348</v>
      </c>
      <c r="B329" s="264"/>
      <c r="C329" s="274" t="s">
        <v>1349</v>
      </c>
      <c r="D329" s="265" t="s">
        <v>777</v>
      </c>
      <c r="E329" s="265" t="s">
        <v>778</v>
      </c>
      <c r="F329" s="275">
        <v>4368</v>
      </c>
      <c r="G329" s="275">
        <v>3166.07</v>
      </c>
      <c r="H329" s="275">
        <v>1201.93</v>
      </c>
    </row>
    <row r="330" spans="1:8" ht="21.2" customHeight="1" x14ac:dyDescent="0.25">
      <c r="A330" s="264" t="s">
        <v>1350</v>
      </c>
      <c r="B330" s="264"/>
      <c r="C330" s="274" t="s">
        <v>1351</v>
      </c>
      <c r="D330" s="265" t="s">
        <v>756</v>
      </c>
      <c r="E330" s="265" t="s">
        <v>1013</v>
      </c>
      <c r="F330" s="275">
        <v>11800</v>
      </c>
      <c r="G330" s="275">
        <v>2458.13</v>
      </c>
      <c r="H330" s="275">
        <v>9341.8799999999992</v>
      </c>
    </row>
    <row r="331" spans="1:8" ht="21.2" customHeight="1" x14ac:dyDescent="0.25">
      <c r="A331" s="268" t="s">
        <v>1352</v>
      </c>
      <c r="B331" s="268"/>
      <c r="C331" s="268"/>
      <c r="D331" s="268"/>
      <c r="E331" s="268"/>
      <c r="F331" s="277">
        <v>90358.38</v>
      </c>
      <c r="G331" s="277">
        <v>64746.76</v>
      </c>
      <c r="H331" s="277">
        <v>25611.62</v>
      </c>
    </row>
    <row r="332" spans="1:8" ht="14.1" customHeight="1" x14ac:dyDescent="0.25">
      <c r="A332" s="264" t="s">
        <v>1353</v>
      </c>
      <c r="B332" s="264"/>
      <c r="C332" s="274" t="s">
        <v>1354</v>
      </c>
      <c r="D332" s="265" t="s">
        <v>1355</v>
      </c>
      <c r="E332" s="265" t="s">
        <v>783</v>
      </c>
      <c r="F332" s="275">
        <v>4101.68</v>
      </c>
      <c r="G332" s="275">
        <v>2938.82</v>
      </c>
      <c r="H332" s="275">
        <v>1162.8599999999999</v>
      </c>
    </row>
    <row r="333" spans="1:8" ht="14.1" customHeight="1" x14ac:dyDescent="0.25">
      <c r="A333" s="264" t="s">
        <v>1356</v>
      </c>
      <c r="B333" s="264"/>
      <c r="C333" s="274" t="s">
        <v>1354</v>
      </c>
      <c r="D333" s="265" t="s">
        <v>1355</v>
      </c>
      <c r="E333" s="265" t="s">
        <v>783</v>
      </c>
      <c r="F333" s="275">
        <v>4101.68</v>
      </c>
      <c r="G333" s="275">
        <v>2938.82</v>
      </c>
      <c r="H333" s="275">
        <v>1162.8599999999999</v>
      </c>
    </row>
    <row r="334" spans="1:8" ht="14.1" customHeight="1" x14ac:dyDescent="0.25">
      <c r="A334" s="264" t="s">
        <v>1357</v>
      </c>
      <c r="B334" s="264"/>
      <c r="C334" s="274" t="s">
        <v>1354</v>
      </c>
      <c r="D334" s="265" t="s">
        <v>1355</v>
      </c>
      <c r="E334" s="265" t="s">
        <v>783</v>
      </c>
      <c r="F334" s="275">
        <v>4101.68</v>
      </c>
      <c r="G334" s="275">
        <v>2938.82</v>
      </c>
      <c r="H334" s="275">
        <v>1162.8599999999999</v>
      </c>
    </row>
    <row r="335" spans="1:8" ht="14.1" customHeight="1" x14ac:dyDescent="0.25">
      <c r="A335" s="264" t="s">
        <v>1358</v>
      </c>
      <c r="B335" s="264"/>
      <c r="C335" s="274" t="s">
        <v>1354</v>
      </c>
      <c r="D335" s="265" t="s">
        <v>1355</v>
      </c>
      <c r="E335" s="265" t="s">
        <v>783</v>
      </c>
      <c r="F335" s="275">
        <v>4101.68</v>
      </c>
      <c r="G335" s="275">
        <v>2938.82</v>
      </c>
      <c r="H335" s="275">
        <v>1162.8599999999999</v>
      </c>
    </row>
    <row r="336" spans="1:8" ht="14.1" customHeight="1" x14ac:dyDescent="0.25">
      <c r="A336" s="264" t="s">
        <v>1359</v>
      </c>
      <c r="B336" s="264"/>
      <c r="C336" s="274" t="s">
        <v>1360</v>
      </c>
      <c r="D336" s="265" t="s">
        <v>1355</v>
      </c>
      <c r="E336" s="265" t="s">
        <v>783</v>
      </c>
      <c r="F336" s="275">
        <v>10079.469999999999</v>
      </c>
      <c r="G336" s="275">
        <v>7222.9</v>
      </c>
      <c r="H336" s="275">
        <v>2856.57</v>
      </c>
    </row>
    <row r="337" spans="1:8" ht="14.1" customHeight="1" x14ac:dyDescent="0.25">
      <c r="A337" s="264" t="s">
        <v>1361</v>
      </c>
      <c r="B337" s="264"/>
      <c r="C337" s="274" t="s">
        <v>1354</v>
      </c>
      <c r="D337" s="265" t="s">
        <v>1355</v>
      </c>
      <c r="E337" s="265" t="s">
        <v>783</v>
      </c>
      <c r="F337" s="275">
        <v>4101.68</v>
      </c>
      <c r="G337" s="275">
        <v>2938.82</v>
      </c>
      <c r="H337" s="275">
        <v>1162.8599999999999</v>
      </c>
    </row>
    <row r="338" spans="1:8" ht="14.1" customHeight="1" x14ac:dyDescent="0.25">
      <c r="A338" s="264" t="s">
        <v>1362</v>
      </c>
      <c r="B338" s="264"/>
      <c r="C338" s="274" t="s">
        <v>1360</v>
      </c>
      <c r="D338" s="265" t="s">
        <v>1355</v>
      </c>
      <c r="E338" s="265" t="s">
        <v>783</v>
      </c>
      <c r="F338" s="275">
        <v>10079.469999999999</v>
      </c>
      <c r="G338" s="275">
        <v>7222.9</v>
      </c>
      <c r="H338" s="275">
        <v>2856.57</v>
      </c>
    </row>
    <row r="339" spans="1:8" ht="14.1" customHeight="1" x14ac:dyDescent="0.25">
      <c r="A339" s="264" t="s">
        <v>1363</v>
      </c>
      <c r="B339" s="264"/>
      <c r="C339" s="274" t="s">
        <v>1354</v>
      </c>
      <c r="D339" s="265" t="s">
        <v>1355</v>
      </c>
      <c r="E339" s="265" t="s">
        <v>783</v>
      </c>
      <c r="F339" s="275">
        <v>4101.68</v>
      </c>
      <c r="G339" s="275">
        <v>2938.82</v>
      </c>
      <c r="H339" s="275">
        <v>1162.8599999999999</v>
      </c>
    </row>
    <row r="340" spans="1:8" ht="14.1" customHeight="1" x14ac:dyDescent="0.25">
      <c r="A340" s="264" t="s">
        <v>1364</v>
      </c>
      <c r="B340" s="264"/>
      <c r="C340" s="274" t="s">
        <v>1360</v>
      </c>
      <c r="D340" s="265" t="s">
        <v>1355</v>
      </c>
      <c r="E340" s="265" t="s">
        <v>783</v>
      </c>
      <c r="F340" s="275">
        <v>14061.83</v>
      </c>
      <c r="G340" s="275">
        <v>10076.92</v>
      </c>
      <c r="H340" s="275">
        <v>3984.91</v>
      </c>
    </row>
    <row r="341" spans="1:8" ht="14.1" customHeight="1" x14ac:dyDescent="0.25">
      <c r="A341" s="264" t="s">
        <v>1365</v>
      </c>
      <c r="B341" s="264"/>
      <c r="C341" s="274" t="s">
        <v>1354</v>
      </c>
      <c r="D341" s="265" t="s">
        <v>1355</v>
      </c>
      <c r="E341" s="265" t="s">
        <v>783</v>
      </c>
      <c r="F341" s="275">
        <v>4101.68</v>
      </c>
      <c r="G341" s="275">
        <v>2938.82</v>
      </c>
      <c r="H341" s="275">
        <v>1162.8599999999999</v>
      </c>
    </row>
    <row r="342" spans="1:8" ht="16.5" customHeight="1" x14ac:dyDescent="0.25">
      <c r="A342" s="264" t="s">
        <v>1366</v>
      </c>
      <c r="B342" s="264"/>
      <c r="C342" s="274" t="s">
        <v>1360</v>
      </c>
      <c r="D342" s="265" t="s">
        <v>1355</v>
      </c>
      <c r="E342" s="265" t="s">
        <v>783</v>
      </c>
      <c r="F342" s="275">
        <v>15120.81</v>
      </c>
      <c r="G342" s="275">
        <v>10835.86</v>
      </c>
      <c r="H342" s="275">
        <v>4284.95</v>
      </c>
    </row>
    <row r="343" spans="1:8" s="280" customFormat="1" ht="14.1" customHeight="1" x14ac:dyDescent="0.25">
      <c r="A343" s="270" t="s">
        <v>1367</v>
      </c>
      <c r="B343" s="270"/>
      <c r="C343" s="270" t="s">
        <v>1368</v>
      </c>
      <c r="D343" s="272" t="s">
        <v>821</v>
      </c>
      <c r="E343" s="272" t="s">
        <v>1369</v>
      </c>
      <c r="F343" s="281">
        <v>4101.68</v>
      </c>
      <c r="G343" s="273">
        <v>2938.82</v>
      </c>
      <c r="H343" s="273">
        <v>1162.8599999999999</v>
      </c>
    </row>
    <row r="344" spans="1:8" ht="14.1" customHeight="1" x14ac:dyDescent="0.25">
      <c r="A344" s="264" t="s">
        <v>1370</v>
      </c>
      <c r="B344" s="264"/>
      <c r="C344" s="264" t="s">
        <v>1354</v>
      </c>
      <c r="D344" s="265" t="s">
        <v>1355</v>
      </c>
      <c r="E344" s="265" t="s">
        <v>783</v>
      </c>
      <c r="F344" s="266">
        <v>4101.68</v>
      </c>
      <c r="G344" s="275">
        <v>2938.82</v>
      </c>
      <c r="H344" s="275">
        <v>1162.8599999999999</v>
      </c>
    </row>
    <row r="345" spans="1:8" ht="18.399999999999999" customHeight="1" x14ac:dyDescent="0.25">
      <c r="A345" s="264" t="s">
        <v>1371</v>
      </c>
      <c r="B345" s="264"/>
      <c r="C345" s="264" t="s">
        <v>1354</v>
      </c>
      <c r="D345" s="265" t="s">
        <v>1355</v>
      </c>
      <c r="E345" s="265" t="s">
        <v>783</v>
      </c>
      <c r="F345" s="266">
        <v>4101.68</v>
      </c>
      <c r="G345" s="275">
        <v>2938.82</v>
      </c>
      <c r="H345" s="275">
        <v>1162.8599999999999</v>
      </c>
    </row>
    <row r="346" spans="1:8" ht="18.399999999999999" customHeight="1" x14ac:dyDescent="0.25">
      <c r="A346" s="267" t="s">
        <v>1372</v>
      </c>
      <c r="B346" s="267"/>
      <c r="C346" s="267"/>
      <c r="D346" s="267"/>
      <c r="E346" s="267"/>
      <c r="F346" s="282">
        <v>1642522.43</v>
      </c>
      <c r="G346" s="282">
        <v>790115.22</v>
      </c>
      <c r="H346" s="282">
        <v>852407.21</v>
      </c>
    </row>
    <row r="347" spans="1:8" ht="14.1" customHeight="1" x14ac:dyDescent="0.25">
      <c r="A347" s="264" t="s">
        <v>1373</v>
      </c>
      <c r="B347" s="264"/>
      <c r="C347" s="264" t="s">
        <v>1374</v>
      </c>
      <c r="D347" s="265" t="s">
        <v>1355</v>
      </c>
      <c r="E347" s="265" t="s">
        <v>783</v>
      </c>
      <c r="F347" s="275">
        <v>4474.5600000000004</v>
      </c>
      <c r="G347" s="275">
        <v>3206.05</v>
      </c>
      <c r="H347" s="275">
        <v>1268.51</v>
      </c>
    </row>
    <row r="348" spans="1:8" ht="14.1" customHeight="1" x14ac:dyDescent="0.25">
      <c r="A348" s="264" t="s">
        <v>1375</v>
      </c>
      <c r="B348" s="264"/>
      <c r="C348" s="264" t="s">
        <v>1376</v>
      </c>
      <c r="D348" s="265" t="s">
        <v>837</v>
      </c>
      <c r="E348" s="265" t="s">
        <v>783</v>
      </c>
      <c r="F348" s="275">
        <v>9228.7800000000007</v>
      </c>
      <c r="G348" s="275">
        <v>6613.24</v>
      </c>
      <c r="H348" s="275">
        <v>2615.54</v>
      </c>
    </row>
    <row r="349" spans="1:8" ht="14.1" customHeight="1" x14ac:dyDescent="0.25">
      <c r="A349" s="264" t="s">
        <v>1377</v>
      </c>
      <c r="B349" s="264"/>
      <c r="C349" s="264" t="s">
        <v>1378</v>
      </c>
      <c r="D349" s="265" t="s">
        <v>782</v>
      </c>
      <c r="E349" s="265" t="s">
        <v>783</v>
      </c>
      <c r="F349" s="275">
        <v>6693.19</v>
      </c>
      <c r="G349" s="275">
        <v>4796.07</v>
      </c>
      <c r="H349" s="275">
        <v>1897.12</v>
      </c>
    </row>
    <row r="350" spans="1:8" ht="14.1" customHeight="1" x14ac:dyDescent="0.25">
      <c r="A350" s="264" t="s">
        <v>1379</v>
      </c>
      <c r="B350" s="264"/>
      <c r="C350" s="264" t="s">
        <v>1380</v>
      </c>
      <c r="D350" s="265" t="s">
        <v>782</v>
      </c>
      <c r="E350" s="265" t="s">
        <v>783</v>
      </c>
      <c r="F350" s="275">
        <v>7468.78</v>
      </c>
      <c r="G350" s="275">
        <v>5351.91</v>
      </c>
      <c r="H350" s="275">
        <v>2116.87</v>
      </c>
    </row>
    <row r="351" spans="1:8" ht="14.1" customHeight="1" x14ac:dyDescent="0.25">
      <c r="A351" s="264" t="s">
        <v>1381</v>
      </c>
      <c r="B351" s="264"/>
      <c r="C351" s="264" t="s">
        <v>1382</v>
      </c>
      <c r="D351" s="265" t="s">
        <v>1383</v>
      </c>
      <c r="E351" s="265" t="s">
        <v>1384</v>
      </c>
      <c r="F351" s="275">
        <v>12390</v>
      </c>
      <c r="G351" s="275">
        <v>6504.22</v>
      </c>
      <c r="H351" s="275">
        <v>5885.78</v>
      </c>
    </row>
    <row r="352" spans="1:8" ht="14.1" customHeight="1" x14ac:dyDescent="0.25">
      <c r="A352" s="264" t="s">
        <v>1385</v>
      </c>
      <c r="B352" s="264"/>
      <c r="C352" s="264" t="s">
        <v>1386</v>
      </c>
      <c r="D352" s="265" t="s">
        <v>1387</v>
      </c>
      <c r="E352" s="265" t="s">
        <v>1388</v>
      </c>
      <c r="F352" s="275">
        <v>10974</v>
      </c>
      <c r="G352" s="275">
        <v>5943.7</v>
      </c>
      <c r="H352" s="275">
        <v>5030.3</v>
      </c>
    </row>
    <row r="353" spans="1:8" ht="14.1" customHeight="1" x14ac:dyDescent="0.25">
      <c r="A353" s="264" t="s">
        <v>1389</v>
      </c>
      <c r="B353" s="264"/>
      <c r="C353" s="264" t="s">
        <v>1390</v>
      </c>
      <c r="D353" s="265" t="s">
        <v>1391</v>
      </c>
      <c r="E353" s="265" t="s">
        <v>1392</v>
      </c>
      <c r="F353" s="275">
        <v>4860.42</v>
      </c>
      <c r="G353" s="275">
        <v>1498.32</v>
      </c>
      <c r="H353" s="275">
        <v>3362.1</v>
      </c>
    </row>
    <row r="354" spans="1:8" ht="14.1" customHeight="1" x14ac:dyDescent="0.25">
      <c r="A354" s="264" t="s">
        <v>1393</v>
      </c>
      <c r="B354" s="264"/>
      <c r="C354" s="264" t="s">
        <v>1394</v>
      </c>
      <c r="D354" s="265" t="s">
        <v>1395</v>
      </c>
      <c r="E354" s="265" t="s">
        <v>1251</v>
      </c>
      <c r="F354" s="275">
        <v>68588.97</v>
      </c>
      <c r="G354" s="275">
        <v>45725.31</v>
      </c>
      <c r="H354" s="275">
        <v>22863.66</v>
      </c>
    </row>
    <row r="355" spans="1:8" ht="14.1" customHeight="1" x14ac:dyDescent="0.25">
      <c r="A355" s="264" t="s">
        <v>1396</v>
      </c>
      <c r="B355" s="264"/>
      <c r="C355" s="264" t="s">
        <v>1397</v>
      </c>
      <c r="D355" s="265" t="s">
        <v>1222</v>
      </c>
      <c r="E355" s="265" t="s">
        <v>1223</v>
      </c>
      <c r="F355" s="275">
        <v>8260</v>
      </c>
      <c r="G355" s="275">
        <v>4611.28</v>
      </c>
      <c r="H355" s="275">
        <v>3648.73</v>
      </c>
    </row>
    <row r="356" spans="1:8" ht="14.1" customHeight="1" x14ac:dyDescent="0.25">
      <c r="A356" s="264" t="s">
        <v>1398</v>
      </c>
      <c r="B356" s="264"/>
      <c r="C356" s="264" t="s">
        <v>1399</v>
      </c>
      <c r="D356" s="265" t="s">
        <v>1222</v>
      </c>
      <c r="E356" s="265" t="s">
        <v>1400</v>
      </c>
      <c r="F356" s="275">
        <v>1868.33</v>
      </c>
      <c r="G356" s="275">
        <v>1027.03</v>
      </c>
      <c r="H356" s="276">
        <v>841.3</v>
      </c>
    </row>
    <row r="357" spans="1:8" ht="14.1" customHeight="1" x14ac:dyDescent="0.25">
      <c r="A357" s="264" t="s">
        <v>1401</v>
      </c>
      <c r="B357" s="264"/>
      <c r="C357" s="264" t="s">
        <v>1402</v>
      </c>
      <c r="D357" s="265" t="s">
        <v>1403</v>
      </c>
      <c r="E357" s="265" t="s">
        <v>1404</v>
      </c>
      <c r="F357" s="275">
        <v>8083</v>
      </c>
      <c r="G357" s="276">
        <v>875.55</v>
      </c>
      <c r="H357" s="275">
        <v>7207.45</v>
      </c>
    </row>
    <row r="358" spans="1:8" ht="14.1" customHeight="1" x14ac:dyDescent="0.25">
      <c r="A358" s="264" t="s">
        <v>1405</v>
      </c>
      <c r="B358" s="264"/>
      <c r="C358" s="264" t="s">
        <v>1406</v>
      </c>
      <c r="D358" s="265" t="s">
        <v>1222</v>
      </c>
      <c r="E358" s="265" t="s">
        <v>1253</v>
      </c>
      <c r="F358" s="275">
        <v>27411.4</v>
      </c>
      <c r="G358" s="275">
        <v>15532.56</v>
      </c>
      <c r="H358" s="275">
        <v>11878.84</v>
      </c>
    </row>
    <row r="359" spans="1:8" ht="14.1" customHeight="1" x14ac:dyDescent="0.25">
      <c r="A359" s="264" t="s">
        <v>1407</v>
      </c>
      <c r="B359" s="264"/>
      <c r="C359" s="264" t="s">
        <v>1408</v>
      </c>
      <c r="D359" s="265" t="s">
        <v>1409</v>
      </c>
      <c r="E359" s="265" t="s">
        <v>1410</v>
      </c>
      <c r="F359" s="275">
        <v>17110</v>
      </c>
      <c r="G359" s="275">
        <v>7984.2</v>
      </c>
      <c r="H359" s="275">
        <v>9125.7999999999993</v>
      </c>
    </row>
    <row r="360" spans="1:8" ht="14.1" customHeight="1" x14ac:dyDescent="0.25">
      <c r="A360" s="264" t="s">
        <v>1411</v>
      </c>
      <c r="B360" s="264"/>
      <c r="C360" s="264" t="s">
        <v>1412</v>
      </c>
      <c r="D360" s="265" t="s">
        <v>1413</v>
      </c>
      <c r="E360" s="265" t="s">
        <v>1414</v>
      </c>
      <c r="F360" s="275">
        <v>11741</v>
      </c>
      <c r="G360" s="275">
        <v>5087.33</v>
      </c>
      <c r="H360" s="275">
        <v>6653.67</v>
      </c>
    </row>
    <row r="361" spans="1:8" ht="14.1" customHeight="1" x14ac:dyDescent="0.25">
      <c r="A361" s="264" t="s">
        <v>1415</v>
      </c>
      <c r="B361" s="264"/>
      <c r="C361" s="264" t="s">
        <v>1378</v>
      </c>
      <c r="D361" s="265" t="s">
        <v>1251</v>
      </c>
      <c r="E361" s="265" t="s">
        <v>783</v>
      </c>
      <c r="F361" s="275">
        <v>6693.19</v>
      </c>
      <c r="G361" s="275">
        <v>4796.07</v>
      </c>
      <c r="H361" s="275">
        <v>1897.12</v>
      </c>
    </row>
    <row r="362" spans="1:8" ht="14.1" customHeight="1" x14ac:dyDescent="0.25">
      <c r="A362" s="264" t="s">
        <v>1416</v>
      </c>
      <c r="B362" s="264"/>
      <c r="C362" s="264" t="s">
        <v>1417</v>
      </c>
      <c r="D362" s="265" t="s">
        <v>1251</v>
      </c>
      <c r="E362" s="265" t="s">
        <v>783</v>
      </c>
      <c r="F362" s="275">
        <v>7271.16</v>
      </c>
      <c r="G362" s="275">
        <v>5210.28</v>
      </c>
      <c r="H362" s="275">
        <v>2060.88</v>
      </c>
    </row>
    <row r="363" spans="1:8" ht="14.1" customHeight="1" x14ac:dyDescent="0.25">
      <c r="A363" s="264" t="s">
        <v>1418</v>
      </c>
      <c r="B363" s="264"/>
      <c r="C363" s="264" t="s">
        <v>1380</v>
      </c>
      <c r="D363" s="265" t="s">
        <v>1419</v>
      </c>
      <c r="E363" s="265" t="s">
        <v>783</v>
      </c>
      <c r="F363" s="275">
        <v>7468.78</v>
      </c>
      <c r="G363" s="275">
        <v>5351.91</v>
      </c>
      <c r="H363" s="275">
        <v>2116.87</v>
      </c>
    </row>
    <row r="364" spans="1:8" ht="14.1" customHeight="1" x14ac:dyDescent="0.25">
      <c r="A364" s="264" t="s">
        <v>1420</v>
      </c>
      <c r="B364" s="264"/>
      <c r="C364" s="264" t="s">
        <v>1380</v>
      </c>
      <c r="D364" s="265" t="s">
        <v>1419</v>
      </c>
      <c r="E364" s="265" t="s">
        <v>783</v>
      </c>
      <c r="F364" s="275">
        <v>7468.78</v>
      </c>
      <c r="G364" s="275">
        <v>5351.91</v>
      </c>
      <c r="H364" s="275">
        <v>2116.87</v>
      </c>
    </row>
    <row r="365" spans="1:8" ht="14.1" customHeight="1" x14ac:dyDescent="0.25">
      <c r="A365" s="264" t="s">
        <v>1421</v>
      </c>
      <c r="B365" s="264"/>
      <c r="C365" s="264" t="s">
        <v>1422</v>
      </c>
      <c r="D365" s="265" t="s">
        <v>1423</v>
      </c>
      <c r="E365" s="265" t="s">
        <v>1424</v>
      </c>
      <c r="F365" s="275">
        <v>10722.66</v>
      </c>
      <c r="G365" s="275">
        <v>4467.3599999999997</v>
      </c>
      <c r="H365" s="275">
        <v>6255.31</v>
      </c>
    </row>
    <row r="366" spans="1:8" ht="14.1" customHeight="1" x14ac:dyDescent="0.25">
      <c r="A366" s="264" t="s">
        <v>1425</v>
      </c>
      <c r="B366" s="264"/>
      <c r="C366" s="264" t="s">
        <v>1426</v>
      </c>
      <c r="D366" s="265" t="s">
        <v>1427</v>
      </c>
      <c r="E366" s="265" t="s">
        <v>1428</v>
      </c>
      <c r="F366" s="275">
        <v>13727.38</v>
      </c>
      <c r="G366" s="275">
        <v>1143.8699999999999</v>
      </c>
      <c r="H366" s="275">
        <v>12583.52</v>
      </c>
    </row>
    <row r="367" spans="1:8" ht="14.1" customHeight="1" x14ac:dyDescent="0.25">
      <c r="A367" s="264" t="s">
        <v>1429</v>
      </c>
      <c r="B367" s="264"/>
      <c r="C367" s="264" t="s">
        <v>1374</v>
      </c>
      <c r="D367" s="265" t="s">
        <v>1355</v>
      </c>
      <c r="E367" s="265" t="s">
        <v>783</v>
      </c>
      <c r="F367" s="275">
        <v>4474.5600000000004</v>
      </c>
      <c r="G367" s="275">
        <v>3206.05</v>
      </c>
      <c r="H367" s="275">
        <v>1268.51</v>
      </c>
    </row>
    <row r="368" spans="1:8" ht="14.1" customHeight="1" x14ac:dyDescent="0.25">
      <c r="A368" s="264" t="s">
        <v>1430</v>
      </c>
      <c r="B368" s="264"/>
      <c r="C368" s="264" t="s">
        <v>1376</v>
      </c>
      <c r="D368" s="265" t="s">
        <v>837</v>
      </c>
      <c r="E368" s="265" t="s">
        <v>783</v>
      </c>
      <c r="F368" s="275">
        <v>9228.7800000000007</v>
      </c>
      <c r="G368" s="275">
        <v>6613.24</v>
      </c>
      <c r="H368" s="275">
        <v>2615.54</v>
      </c>
    </row>
    <row r="369" spans="1:8" ht="14.1" customHeight="1" x14ac:dyDescent="0.25">
      <c r="A369" s="264" t="s">
        <v>1431</v>
      </c>
      <c r="B369" s="264"/>
      <c r="C369" s="264" t="s">
        <v>1376</v>
      </c>
      <c r="D369" s="265" t="s">
        <v>782</v>
      </c>
      <c r="E369" s="265" t="s">
        <v>783</v>
      </c>
      <c r="F369" s="275">
        <v>9228.7800000000007</v>
      </c>
      <c r="G369" s="275">
        <v>6613.24</v>
      </c>
      <c r="H369" s="275">
        <v>2615.54</v>
      </c>
    </row>
    <row r="370" spans="1:8" ht="14.1" customHeight="1" x14ac:dyDescent="0.25">
      <c r="A370" s="264" t="s">
        <v>1432</v>
      </c>
      <c r="B370" s="264"/>
      <c r="C370" s="264" t="s">
        <v>1380</v>
      </c>
      <c r="D370" s="265" t="s">
        <v>782</v>
      </c>
      <c r="E370" s="265" t="s">
        <v>783</v>
      </c>
      <c r="F370" s="275">
        <v>7468.78</v>
      </c>
      <c r="G370" s="275">
        <v>5351.91</v>
      </c>
      <c r="H370" s="275">
        <v>2116.87</v>
      </c>
    </row>
    <row r="371" spans="1:8" ht="14.1" customHeight="1" x14ac:dyDescent="0.25">
      <c r="A371" s="264" t="s">
        <v>1433</v>
      </c>
      <c r="B371" s="264"/>
      <c r="C371" s="264" t="s">
        <v>1434</v>
      </c>
      <c r="D371" s="265" t="s">
        <v>1435</v>
      </c>
      <c r="E371" s="265" t="s">
        <v>1384</v>
      </c>
      <c r="F371" s="275">
        <v>11505</v>
      </c>
      <c r="G371" s="275">
        <v>6039.6</v>
      </c>
      <c r="H371" s="275">
        <v>5465.4</v>
      </c>
    </row>
    <row r="372" spans="1:8" ht="14.1" customHeight="1" x14ac:dyDescent="0.25">
      <c r="A372" s="264" t="s">
        <v>1436</v>
      </c>
      <c r="B372" s="264"/>
      <c r="C372" s="264" t="s">
        <v>1437</v>
      </c>
      <c r="D372" s="265" t="s">
        <v>1438</v>
      </c>
      <c r="E372" s="265" t="s">
        <v>1439</v>
      </c>
      <c r="F372" s="275">
        <v>29500</v>
      </c>
      <c r="G372" s="275">
        <v>14995.33</v>
      </c>
      <c r="H372" s="275">
        <v>14504.68</v>
      </c>
    </row>
    <row r="373" spans="1:8" ht="14.1" customHeight="1" x14ac:dyDescent="0.25">
      <c r="A373" s="264" t="s">
        <v>1440</v>
      </c>
      <c r="B373" s="264"/>
      <c r="C373" s="264" t="s">
        <v>1426</v>
      </c>
      <c r="D373" s="265" t="s">
        <v>1427</v>
      </c>
      <c r="E373" s="265" t="s">
        <v>1428</v>
      </c>
      <c r="F373" s="275">
        <v>13727.38</v>
      </c>
      <c r="G373" s="275">
        <v>1143.8699999999999</v>
      </c>
      <c r="H373" s="275">
        <v>12583.52</v>
      </c>
    </row>
    <row r="374" spans="1:8" ht="14.1" customHeight="1" x14ac:dyDescent="0.25">
      <c r="A374" s="264" t="s">
        <v>1441</v>
      </c>
      <c r="B374" s="264"/>
      <c r="C374" s="264" t="s">
        <v>1386</v>
      </c>
      <c r="D374" s="265" t="s">
        <v>1032</v>
      </c>
      <c r="E374" s="265" t="s">
        <v>1388</v>
      </c>
      <c r="F374" s="275">
        <v>10974</v>
      </c>
      <c r="G374" s="275">
        <v>5943.7</v>
      </c>
      <c r="H374" s="275">
        <v>5030.3</v>
      </c>
    </row>
    <row r="375" spans="1:8" ht="14.1" customHeight="1" x14ac:dyDescent="0.25">
      <c r="A375" s="264" t="s">
        <v>1442</v>
      </c>
      <c r="B375" s="264"/>
      <c r="C375" s="264" t="s">
        <v>1443</v>
      </c>
      <c r="D375" s="265" t="s">
        <v>1391</v>
      </c>
      <c r="E375" s="265" t="s">
        <v>1392</v>
      </c>
      <c r="F375" s="275">
        <v>4860.42</v>
      </c>
      <c r="G375" s="275">
        <v>1498.32</v>
      </c>
      <c r="H375" s="275">
        <v>3362.1</v>
      </c>
    </row>
    <row r="376" spans="1:8" ht="14.1" customHeight="1" x14ac:dyDescent="0.25">
      <c r="A376" s="264" t="s">
        <v>1444</v>
      </c>
      <c r="B376" s="264"/>
      <c r="C376" s="264" t="s">
        <v>1399</v>
      </c>
      <c r="D376" s="265" t="s">
        <v>1222</v>
      </c>
      <c r="E376" s="265" t="s">
        <v>1400</v>
      </c>
      <c r="F376" s="275">
        <v>1868.33</v>
      </c>
      <c r="G376" s="275">
        <v>1027.03</v>
      </c>
      <c r="H376" s="276">
        <v>841.3</v>
      </c>
    </row>
    <row r="377" spans="1:8" ht="14.1" customHeight="1" x14ac:dyDescent="0.25">
      <c r="A377" s="264" t="s">
        <v>1445</v>
      </c>
      <c r="B377" s="264"/>
      <c r="C377" s="264" t="s">
        <v>1446</v>
      </c>
      <c r="D377" s="265" t="s">
        <v>1403</v>
      </c>
      <c r="E377" s="265" t="s">
        <v>1404</v>
      </c>
      <c r="F377" s="275">
        <v>8850</v>
      </c>
      <c r="G377" s="276">
        <v>958.64</v>
      </c>
      <c r="H377" s="275">
        <v>7891.36</v>
      </c>
    </row>
    <row r="378" spans="1:8" ht="14.1" customHeight="1" x14ac:dyDescent="0.25">
      <c r="A378" s="264" t="s">
        <v>1447</v>
      </c>
      <c r="B378" s="264"/>
      <c r="C378" s="264" t="s">
        <v>1378</v>
      </c>
      <c r="D378" s="265" t="s">
        <v>1251</v>
      </c>
      <c r="E378" s="265" t="s">
        <v>783</v>
      </c>
      <c r="F378" s="275">
        <v>6693.19</v>
      </c>
      <c r="G378" s="275">
        <v>4796.07</v>
      </c>
      <c r="H378" s="275">
        <v>1897.12</v>
      </c>
    </row>
    <row r="379" spans="1:8" ht="14.1" customHeight="1" x14ac:dyDescent="0.25">
      <c r="A379" s="264" t="s">
        <v>1448</v>
      </c>
      <c r="B379" s="264"/>
      <c r="C379" s="264" t="s">
        <v>1417</v>
      </c>
      <c r="D379" s="265" t="s">
        <v>1251</v>
      </c>
      <c r="E379" s="265" t="s">
        <v>783</v>
      </c>
      <c r="F379" s="275">
        <v>7271.16</v>
      </c>
      <c r="G379" s="275">
        <v>5210.28</v>
      </c>
      <c r="H379" s="275">
        <v>2060.88</v>
      </c>
    </row>
    <row r="380" spans="1:8" ht="18.399999999999999" customHeight="1" x14ac:dyDescent="0.25">
      <c r="A380" s="264" t="s">
        <v>1449</v>
      </c>
      <c r="B380" s="264"/>
      <c r="C380" s="264" t="s">
        <v>1380</v>
      </c>
      <c r="D380" s="265" t="s">
        <v>1419</v>
      </c>
      <c r="E380" s="265" t="s">
        <v>783</v>
      </c>
      <c r="F380" s="275">
        <v>7468.78</v>
      </c>
      <c r="G380" s="275">
        <v>5351.91</v>
      </c>
      <c r="H380" s="275">
        <v>2116.87</v>
      </c>
    </row>
    <row r="381" spans="1:8" s="280" customFormat="1" ht="14.1" customHeight="1" x14ac:dyDescent="0.25">
      <c r="A381" s="270" t="s">
        <v>1450</v>
      </c>
      <c r="B381" s="270"/>
      <c r="C381" s="270" t="s">
        <v>1451</v>
      </c>
      <c r="D381" s="272" t="s">
        <v>1452</v>
      </c>
      <c r="E381" s="272" t="s">
        <v>1369</v>
      </c>
      <c r="F381" s="273">
        <v>7468.78</v>
      </c>
      <c r="G381" s="273">
        <v>5351.91</v>
      </c>
      <c r="H381" s="273">
        <v>2116.87</v>
      </c>
    </row>
    <row r="382" spans="1:8" ht="14.1" customHeight="1" x14ac:dyDescent="0.25">
      <c r="A382" s="264" t="s">
        <v>1453</v>
      </c>
      <c r="B382" s="264"/>
      <c r="C382" s="264" t="s">
        <v>1422</v>
      </c>
      <c r="D382" s="265" t="s">
        <v>1423</v>
      </c>
      <c r="E382" s="265" t="s">
        <v>1424</v>
      </c>
      <c r="F382" s="275">
        <v>10722.66</v>
      </c>
      <c r="G382" s="275">
        <v>4467.3599999999997</v>
      </c>
      <c r="H382" s="275">
        <v>6255.31</v>
      </c>
    </row>
    <row r="383" spans="1:8" ht="14.1" customHeight="1" x14ac:dyDescent="0.25">
      <c r="A383" s="264" t="s">
        <v>1454</v>
      </c>
      <c r="B383" s="264"/>
      <c r="C383" s="264" t="s">
        <v>1374</v>
      </c>
      <c r="D383" s="265" t="s">
        <v>1355</v>
      </c>
      <c r="E383" s="265" t="s">
        <v>783</v>
      </c>
      <c r="F383" s="275">
        <v>4474.5600000000004</v>
      </c>
      <c r="G383" s="275">
        <v>3206.05</v>
      </c>
      <c r="H383" s="275">
        <v>1268.51</v>
      </c>
    </row>
    <row r="384" spans="1:8" ht="14.1" customHeight="1" x14ac:dyDescent="0.25">
      <c r="A384" s="264" t="s">
        <v>1455</v>
      </c>
      <c r="B384" s="264"/>
      <c r="C384" s="264" t="s">
        <v>1376</v>
      </c>
      <c r="D384" s="265" t="s">
        <v>837</v>
      </c>
      <c r="E384" s="265" t="s">
        <v>783</v>
      </c>
      <c r="F384" s="275">
        <v>9228.7800000000007</v>
      </c>
      <c r="G384" s="275">
        <v>6613.24</v>
      </c>
      <c r="H384" s="275">
        <v>2615.54</v>
      </c>
    </row>
    <row r="385" spans="1:8" ht="14.1" customHeight="1" x14ac:dyDescent="0.25">
      <c r="A385" s="264" t="s">
        <v>1456</v>
      </c>
      <c r="B385" s="264"/>
      <c r="C385" s="264" t="s">
        <v>1378</v>
      </c>
      <c r="D385" s="265" t="s">
        <v>1251</v>
      </c>
      <c r="E385" s="265" t="s">
        <v>783</v>
      </c>
      <c r="F385" s="275">
        <v>6693.19</v>
      </c>
      <c r="G385" s="275">
        <v>4796.07</v>
      </c>
      <c r="H385" s="275">
        <v>1897.12</v>
      </c>
    </row>
    <row r="386" spans="1:8" ht="14.1" customHeight="1" x14ac:dyDescent="0.25">
      <c r="A386" s="264" t="s">
        <v>1457</v>
      </c>
      <c r="B386" s="264"/>
      <c r="C386" s="264" t="s">
        <v>1417</v>
      </c>
      <c r="D386" s="265" t="s">
        <v>1251</v>
      </c>
      <c r="E386" s="265" t="s">
        <v>783</v>
      </c>
      <c r="F386" s="275">
        <v>7271.16</v>
      </c>
      <c r="G386" s="275">
        <v>5210.28</v>
      </c>
      <c r="H386" s="275">
        <v>2060.88</v>
      </c>
    </row>
    <row r="387" spans="1:8" ht="14.1" customHeight="1" x14ac:dyDescent="0.25">
      <c r="A387" s="264" t="s">
        <v>1458</v>
      </c>
      <c r="B387" s="264"/>
      <c r="C387" s="264" t="s">
        <v>1380</v>
      </c>
      <c r="D387" s="265" t="s">
        <v>1419</v>
      </c>
      <c r="E387" s="265" t="s">
        <v>783</v>
      </c>
      <c r="F387" s="275">
        <v>7468.78</v>
      </c>
      <c r="G387" s="275">
        <v>5351.91</v>
      </c>
      <c r="H387" s="275">
        <v>2116.87</v>
      </c>
    </row>
    <row r="388" spans="1:8" ht="14.1" customHeight="1" x14ac:dyDescent="0.25">
      <c r="A388" s="264" t="s">
        <v>1459</v>
      </c>
      <c r="B388" s="264"/>
      <c r="C388" s="264" t="s">
        <v>1380</v>
      </c>
      <c r="D388" s="265" t="s">
        <v>1419</v>
      </c>
      <c r="E388" s="265" t="s">
        <v>783</v>
      </c>
      <c r="F388" s="275">
        <v>7468.78</v>
      </c>
      <c r="G388" s="275">
        <v>5351.91</v>
      </c>
      <c r="H388" s="275">
        <v>2116.87</v>
      </c>
    </row>
    <row r="389" spans="1:8" ht="14.1" customHeight="1" x14ac:dyDescent="0.25">
      <c r="A389" s="264" t="s">
        <v>1460</v>
      </c>
      <c r="B389" s="264"/>
      <c r="C389" s="264" t="s">
        <v>1461</v>
      </c>
      <c r="D389" s="265" t="s">
        <v>1462</v>
      </c>
      <c r="E389" s="265" t="s">
        <v>1463</v>
      </c>
      <c r="F389" s="275">
        <v>27730</v>
      </c>
      <c r="G389" s="275">
        <v>3697.2</v>
      </c>
      <c r="H389" s="275">
        <v>24032.799999999999</v>
      </c>
    </row>
    <row r="390" spans="1:8" ht="14.1" customHeight="1" x14ac:dyDescent="0.25">
      <c r="A390" s="264" t="s">
        <v>1464</v>
      </c>
      <c r="B390" s="264"/>
      <c r="C390" s="264" t="s">
        <v>1382</v>
      </c>
      <c r="D390" s="265" t="s">
        <v>1383</v>
      </c>
      <c r="E390" s="265" t="s">
        <v>1384</v>
      </c>
      <c r="F390" s="275">
        <v>12390</v>
      </c>
      <c r="G390" s="275">
        <v>6504.22</v>
      </c>
      <c r="H390" s="275">
        <v>5885.78</v>
      </c>
    </row>
    <row r="391" spans="1:8" ht="14.1" customHeight="1" x14ac:dyDescent="0.25">
      <c r="A391" s="264" t="s">
        <v>1465</v>
      </c>
      <c r="B391" s="264"/>
      <c r="C391" s="264" t="s">
        <v>1378</v>
      </c>
      <c r="D391" s="265" t="s">
        <v>782</v>
      </c>
      <c r="E391" s="265" t="s">
        <v>783</v>
      </c>
      <c r="F391" s="275">
        <v>6693.19</v>
      </c>
      <c r="G391" s="275">
        <v>4796.07</v>
      </c>
      <c r="H391" s="275">
        <v>1897.12</v>
      </c>
    </row>
    <row r="392" spans="1:8" ht="14.1" customHeight="1" x14ac:dyDescent="0.25">
      <c r="A392" s="264" t="s">
        <v>1466</v>
      </c>
      <c r="B392" s="264"/>
      <c r="C392" s="264" t="s">
        <v>1467</v>
      </c>
      <c r="D392" s="265" t="s">
        <v>782</v>
      </c>
      <c r="E392" s="265" t="s">
        <v>783</v>
      </c>
      <c r="F392" s="275">
        <v>12374.95</v>
      </c>
      <c r="G392" s="275">
        <v>8867.99</v>
      </c>
      <c r="H392" s="275">
        <v>3506.96</v>
      </c>
    </row>
    <row r="393" spans="1:8" ht="14.1" customHeight="1" x14ac:dyDescent="0.25">
      <c r="A393" s="264" t="s">
        <v>1468</v>
      </c>
      <c r="B393" s="264"/>
      <c r="C393" s="264" t="s">
        <v>1469</v>
      </c>
      <c r="D393" s="265" t="s">
        <v>1427</v>
      </c>
      <c r="E393" s="265" t="s">
        <v>1428</v>
      </c>
      <c r="F393" s="275">
        <v>10746.18</v>
      </c>
      <c r="G393" s="276">
        <v>895.43</v>
      </c>
      <c r="H393" s="275">
        <v>9850.75</v>
      </c>
    </row>
    <row r="394" spans="1:8" ht="14.1" customHeight="1" x14ac:dyDescent="0.25">
      <c r="A394" s="264" t="s">
        <v>1470</v>
      </c>
      <c r="B394" s="264"/>
      <c r="C394" s="264" t="s">
        <v>1471</v>
      </c>
      <c r="D394" s="265" t="s">
        <v>1387</v>
      </c>
      <c r="E394" s="265" t="s">
        <v>1388</v>
      </c>
      <c r="F394" s="275">
        <v>10974</v>
      </c>
      <c r="G394" s="275">
        <v>5943.7</v>
      </c>
      <c r="H394" s="275">
        <v>5030.3</v>
      </c>
    </row>
    <row r="395" spans="1:8" ht="14.1" customHeight="1" x14ac:dyDescent="0.25">
      <c r="A395" s="264" t="s">
        <v>1472</v>
      </c>
      <c r="B395" s="264"/>
      <c r="C395" s="264" t="s">
        <v>1399</v>
      </c>
      <c r="D395" s="265" t="s">
        <v>1222</v>
      </c>
      <c r="E395" s="265" t="s">
        <v>1400</v>
      </c>
      <c r="F395" s="275">
        <v>1868.33</v>
      </c>
      <c r="G395" s="275">
        <v>1027.03</v>
      </c>
      <c r="H395" s="276">
        <v>841.3</v>
      </c>
    </row>
    <row r="396" spans="1:8" ht="14.1" customHeight="1" x14ac:dyDescent="0.25">
      <c r="A396" s="264" t="s">
        <v>1473</v>
      </c>
      <c r="B396" s="264"/>
      <c r="C396" s="264" t="s">
        <v>1474</v>
      </c>
      <c r="D396" s="265" t="s">
        <v>1409</v>
      </c>
      <c r="E396" s="265" t="s">
        <v>1410</v>
      </c>
      <c r="F396" s="275">
        <v>6490</v>
      </c>
      <c r="G396" s="275">
        <v>3028.2</v>
      </c>
      <c r="H396" s="275">
        <v>3461.8</v>
      </c>
    </row>
    <row r="397" spans="1:8" ht="14.1" customHeight="1" x14ac:dyDescent="0.25">
      <c r="A397" s="264" t="s">
        <v>1475</v>
      </c>
      <c r="B397" s="264"/>
      <c r="C397" s="264" t="s">
        <v>1476</v>
      </c>
      <c r="D397" s="265" t="s">
        <v>1477</v>
      </c>
      <c r="E397" s="265" t="s">
        <v>1478</v>
      </c>
      <c r="F397" s="275">
        <v>3926.21</v>
      </c>
      <c r="G397" s="275">
        <v>1700.92</v>
      </c>
      <c r="H397" s="275">
        <v>2225.29</v>
      </c>
    </row>
    <row r="398" spans="1:8" ht="14.1" customHeight="1" x14ac:dyDescent="0.25">
      <c r="A398" s="264" t="s">
        <v>1479</v>
      </c>
      <c r="B398" s="264"/>
      <c r="C398" s="264" t="s">
        <v>1480</v>
      </c>
      <c r="D398" s="265" t="s">
        <v>1404</v>
      </c>
      <c r="E398" s="265" t="s">
        <v>1404</v>
      </c>
      <c r="F398" s="275">
        <v>8083</v>
      </c>
      <c r="G398" s="276">
        <v>875.55</v>
      </c>
      <c r="H398" s="275">
        <v>7207.45</v>
      </c>
    </row>
    <row r="399" spans="1:8" ht="14.1" customHeight="1" x14ac:dyDescent="0.25">
      <c r="A399" s="264" t="s">
        <v>1481</v>
      </c>
      <c r="B399" s="264"/>
      <c r="C399" s="264" t="s">
        <v>1422</v>
      </c>
      <c r="D399" s="265" t="s">
        <v>1423</v>
      </c>
      <c r="E399" s="265" t="s">
        <v>1424</v>
      </c>
      <c r="F399" s="275">
        <v>10722.66</v>
      </c>
      <c r="G399" s="275">
        <v>4467.3599999999997</v>
      </c>
      <c r="H399" s="275">
        <v>6255.31</v>
      </c>
    </row>
    <row r="400" spans="1:8" ht="14.1" customHeight="1" x14ac:dyDescent="0.25">
      <c r="A400" s="264" t="s">
        <v>1482</v>
      </c>
      <c r="B400" s="264"/>
      <c r="C400" s="264" t="s">
        <v>1374</v>
      </c>
      <c r="D400" s="265" t="s">
        <v>1355</v>
      </c>
      <c r="E400" s="265" t="s">
        <v>783</v>
      </c>
      <c r="F400" s="275">
        <v>4474.5600000000004</v>
      </c>
      <c r="G400" s="275">
        <v>3206.05</v>
      </c>
      <c r="H400" s="275">
        <v>1268.51</v>
      </c>
    </row>
    <row r="401" spans="1:8" ht="14.1" customHeight="1" x14ac:dyDescent="0.25">
      <c r="A401" s="264" t="s">
        <v>1483</v>
      </c>
      <c r="B401" s="264"/>
      <c r="C401" s="264" t="s">
        <v>1376</v>
      </c>
      <c r="D401" s="265" t="s">
        <v>837</v>
      </c>
      <c r="E401" s="265" t="s">
        <v>783</v>
      </c>
      <c r="F401" s="275">
        <v>9228.7800000000007</v>
      </c>
      <c r="G401" s="275">
        <v>6613.24</v>
      </c>
      <c r="H401" s="275">
        <v>2615.54</v>
      </c>
    </row>
    <row r="402" spans="1:8" ht="14.1" customHeight="1" x14ac:dyDescent="0.25">
      <c r="A402" s="264" t="s">
        <v>1484</v>
      </c>
      <c r="B402" s="264"/>
      <c r="C402" s="264" t="s">
        <v>1376</v>
      </c>
      <c r="D402" s="265" t="s">
        <v>837</v>
      </c>
      <c r="E402" s="265" t="s">
        <v>783</v>
      </c>
      <c r="F402" s="275">
        <v>9228.7800000000007</v>
      </c>
      <c r="G402" s="275">
        <v>6613.24</v>
      </c>
      <c r="H402" s="275">
        <v>2615.54</v>
      </c>
    </row>
    <row r="403" spans="1:8" ht="14.1" customHeight="1" x14ac:dyDescent="0.25">
      <c r="A403" s="264" t="s">
        <v>1485</v>
      </c>
      <c r="B403" s="264"/>
      <c r="C403" s="264" t="s">
        <v>1486</v>
      </c>
      <c r="D403" s="265" t="s">
        <v>1462</v>
      </c>
      <c r="E403" s="265" t="s">
        <v>1463</v>
      </c>
      <c r="F403" s="275">
        <v>19706</v>
      </c>
      <c r="G403" s="275">
        <v>2627.33</v>
      </c>
      <c r="H403" s="275">
        <v>17078.669999999998</v>
      </c>
    </row>
    <row r="404" spans="1:8" ht="14.1" customHeight="1" x14ac:dyDescent="0.25">
      <c r="A404" s="264" t="s">
        <v>1487</v>
      </c>
      <c r="B404" s="264"/>
      <c r="C404" s="264" t="s">
        <v>1467</v>
      </c>
      <c r="D404" s="265" t="s">
        <v>782</v>
      </c>
      <c r="E404" s="265" t="s">
        <v>783</v>
      </c>
      <c r="F404" s="275">
        <v>12374.95</v>
      </c>
      <c r="G404" s="275">
        <v>8867.99</v>
      </c>
      <c r="H404" s="275">
        <v>3506.96</v>
      </c>
    </row>
    <row r="405" spans="1:8" ht="14.1" customHeight="1" x14ac:dyDescent="0.25">
      <c r="A405" s="264" t="s">
        <v>1488</v>
      </c>
      <c r="B405" s="264"/>
      <c r="C405" s="264" t="s">
        <v>1382</v>
      </c>
      <c r="D405" s="265" t="s">
        <v>1383</v>
      </c>
      <c r="E405" s="265" t="s">
        <v>1384</v>
      </c>
      <c r="F405" s="275">
        <v>12390</v>
      </c>
      <c r="G405" s="275">
        <v>6504.22</v>
      </c>
      <c r="H405" s="275">
        <v>5885.78</v>
      </c>
    </row>
    <row r="406" spans="1:8" ht="14.1" customHeight="1" x14ac:dyDescent="0.25">
      <c r="A406" s="264" t="s">
        <v>1489</v>
      </c>
      <c r="B406" s="264"/>
      <c r="C406" s="264" t="s">
        <v>1490</v>
      </c>
      <c r="D406" s="265" t="s">
        <v>925</v>
      </c>
      <c r="E406" s="265" t="s">
        <v>1491</v>
      </c>
      <c r="F406" s="275">
        <v>8850</v>
      </c>
      <c r="G406" s="276">
        <v>516.19000000000005</v>
      </c>
      <c r="H406" s="275">
        <v>8333.81</v>
      </c>
    </row>
    <row r="407" spans="1:8" ht="14.1" customHeight="1" x14ac:dyDescent="0.25">
      <c r="A407" s="264" t="s">
        <v>1492</v>
      </c>
      <c r="B407" s="264"/>
      <c r="C407" s="264" t="s">
        <v>1422</v>
      </c>
      <c r="D407" s="265" t="s">
        <v>1423</v>
      </c>
      <c r="E407" s="265" t="s">
        <v>1424</v>
      </c>
      <c r="F407" s="275">
        <v>10722.66</v>
      </c>
      <c r="G407" s="275">
        <v>4467.3599999999997</v>
      </c>
      <c r="H407" s="275">
        <v>6255.31</v>
      </c>
    </row>
    <row r="408" spans="1:8" ht="14.1" customHeight="1" x14ac:dyDescent="0.25">
      <c r="A408" s="264" t="s">
        <v>1493</v>
      </c>
      <c r="B408" s="264"/>
      <c r="C408" s="264" t="s">
        <v>1378</v>
      </c>
      <c r="D408" s="265" t="s">
        <v>1251</v>
      </c>
      <c r="E408" s="265" t="s">
        <v>783</v>
      </c>
      <c r="F408" s="275">
        <v>6693.19</v>
      </c>
      <c r="G408" s="275">
        <v>4796.07</v>
      </c>
      <c r="H408" s="275">
        <v>1897.12</v>
      </c>
    </row>
    <row r="409" spans="1:8" ht="14.1" customHeight="1" x14ac:dyDescent="0.25">
      <c r="A409" s="264" t="s">
        <v>1494</v>
      </c>
      <c r="B409" s="264"/>
      <c r="C409" s="264" t="s">
        <v>1380</v>
      </c>
      <c r="D409" s="265" t="s">
        <v>1419</v>
      </c>
      <c r="E409" s="265" t="s">
        <v>783</v>
      </c>
      <c r="F409" s="275">
        <v>7468.78</v>
      </c>
      <c r="G409" s="275">
        <v>5351.91</v>
      </c>
      <c r="H409" s="275">
        <v>2116.87</v>
      </c>
    </row>
    <row r="410" spans="1:8" ht="14.1" customHeight="1" x14ac:dyDescent="0.25">
      <c r="A410" s="264" t="s">
        <v>1495</v>
      </c>
      <c r="B410" s="264"/>
      <c r="C410" s="264" t="s">
        <v>1380</v>
      </c>
      <c r="D410" s="265" t="s">
        <v>1419</v>
      </c>
      <c r="E410" s="265" t="s">
        <v>783</v>
      </c>
      <c r="F410" s="275">
        <v>7468.78</v>
      </c>
      <c r="G410" s="275">
        <v>5351.91</v>
      </c>
      <c r="H410" s="275">
        <v>2116.87</v>
      </c>
    </row>
    <row r="411" spans="1:8" ht="14.1" customHeight="1" x14ac:dyDescent="0.25">
      <c r="A411" s="264" t="s">
        <v>1496</v>
      </c>
      <c r="B411" s="264"/>
      <c r="C411" s="264" t="s">
        <v>1497</v>
      </c>
      <c r="D411" s="265" t="s">
        <v>1387</v>
      </c>
      <c r="E411" s="265" t="s">
        <v>1388</v>
      </c>
      <c r="F411" s="275">
        <v>10974</v>
      </c>
      <c r="G411" s="275">
        <v>5943.7</v>
      </c>
      <c r="H411" s="275">
        <v>5030.3</v>
      </c>
    </row>
    <row r="412" spans="1:8" ht="14.1" customHeight="1" x14ac:dyDescent="0.25">
      <c r="A412" s="264" t="s">
        <v>1498</v>
      </c>
      <c r="B412" s="264"/>
      <c r="C412" s="264" t="s">
        <v>1499</v>
      </c>
      <c r="D412" s="265" t="s">
        <v>1500</v>
      </c>
      <c r="E412" s="265" t="s">
        <v>1501</v>
      </c>
      <c r="F412" s="275">
        <v>9251.2000000000007</v>
      </c>
      <c r="G412" s="275">
        <v>2852.15</v>
      </c>
      <c r="H412" s="275">
        <v>6399.06</v>
      </c>
    </row>
    <row r="413" spans="1:8" ht="14.1" customHeight="1" x14ac:dyDescent="0.25">
      <c r="A413" s="264" t="s">
        <v>1502</v>
      </c>
      <c r="B413" s="264"/>
      <c r="C413" s="264" t="s">
        <v>1503</v>
      </c>
      <c r="D413" s="265" t="s">
        <v>1427</v>
      </c>
      <c r="E413" s="265" t="s">
        <v>1428</v>
      </c>
      <c r="F413" s="275">
        <v>9723.56</v>
      </c>
      <c r="G413" s="276">
        <v>810.21</v>
      </c>
      <c r="H413" s="275">
        <v>8913.35</v>
      </c>
    </row>
    <row r="414" spans="1:8" ht="14.1" customHeight="1" x14ac:dyDescent="0.25">
      <c r="A414" s="264" t="s">
        <v>1504</v>
      </c>
      <c r="B414" s="264"/>
      <c r="C414" s="264" t="s">
        <v>1399</v>
      </c>
      <c r="D414" s="265" t="s">
        <v>1222</v>
      </c>
      <c r="E414" s="265" t="s">
        <v>1400</v>
      </c>
      <c r="F414" s="275">
        <v>1868.33</v>
      </c>
      <c r="G414" s="275">
        <v>1027.03</v>
      </c>
      <c r="H414" s="276">
        <v>841.3</v>
      </c>
    </row>
    <row r="415" spans="1:8" ht="14.1" customHeight="1" x14ac:dyDescent="0.25">
      <c r="A415" s="264" t="s">
        <v>1505</v>
      </c>
      <c r="B415" s="264"/>
      <c r="C415" s="264" t="s">
        <v>1506</v>
      </c>
      <c r="D415" s="265" t="s">
        <v>1395</v>
      </c>
      <c r="E415" s="265" t="s">
        <v>1507</v>
      </c>
      <c r="F415" s="275">
        <v>8260</v>
      </c>
      <c r="G415" s="275">
        <v>5506</v>
      </c>
      <c r="H415" s="275">
        <v>2754</v>
      </c>
    </row>
    <row r="416" spans="1:8" ht="14.1" customHeight="1" x14ac:dyDescent="0.25">
      <c r="A416" s="264" t="s">
        <v>1508</v>
      </c>
      <c r="B416" s="264"/>
      <c r="C416" s="264" t="s">
        <v>1474</v>
      </c>
      <c r="D416" s="265" t="s">
        <v>1409</v>
      </c>
      <c r="E416" s="265" t="s">
        <v>1410</v>
      </c>
      <c r="F416" s="275">
        <v>6490</v>
      </c>
      <c r="G416" s="275">
        <v>3028.2</v>
      </c>
      <c r="H416" s="275">
        <v>3461.8</v>
      </c>
    </row>
    <row r="417" spans="1:8" ht="14.1" customHeight="1" x14ac:dyDescent="0.25">
      <c r="A417" s="264" t="s">
        <v>1509</v>
      </c>
      <c r="B417" s="264"/>
      <c r="C417" s="264" t="s">
        <v>1476</v>
      </c>
      <c r="D417" s="265" t="s">
        <v>1477</v>
      </c>
      <c r="E417" s="265" t="s">
        <v>1478</v>
      </c>
      <c r="F417" s="275">
        <v>3926.21</v>
      </c>
      <c r="G417" s="275">
        <v>1700.92</v>
      </c>
      <c r="H417" s="275">
        <v>2225.29</v>
      </c>
    </row>
    <row r="418" spans="1:8" ht="14.1" customHeight="1" x14ac:dyDescent="0.25">
      <c r="A418" s="264" t="s">
        <v>1510</v>
      </c>
      <c r="B418" s="264"/>
      <c r="C418" s="264" t="s">
        <v>1376</v>
      </c>
      <c r="D418" s="265" t="s">
        <v>1355</v>
      </c>
      <c r="E418" s="265" t="s">
        <v>783</v>
      </c>
      <c r="F418" s="275">
        <v>9228.7800000000007</v>
      </c>
      <c r="G418" s="275">
        <v>6613.24</v>
      </c>
      <c r="H418" s="275">
        <v>2615.54</v>
      </c>
    </row>
    <row r="419" spans="1:8" ht="18.399999999999999" customHeight="1" x14ac:dyDescent="0.25">
      <c r="A419" s="264" t="s">
        <v>1511</v>
      </c>
      <c r="B419" s="264"/>
      <c r="C419" s="264" t="s">
        <v>1376</v>
      </c>
      <c r="D419" s="265" t="s">
        <v>837</v>
      </c>
      <c r="E419" s="265" t="s">
        <v>783</v>
      </c>
      <c r="F419" s="275">
        <v>9228.7800000000007</v>
      </c>
      <c r="G419" s="275">
        <v>6613.24</v>
      </c>
      <c r="H419" s="275">
        <v>2615.54</v>
      </c>
    </row>
    <row r="420" spans="1:8" s="280" customFormat="1" ht="14.1" customHeight="1" x14ac:dyDescent="0.25">
      <c r="A420" s="270" t="s">
        <v>1512</v>
      </c>
      <c r="B420" s="270"/>
      <c r="C420" s="270" t="s">
        <v>1513</v>
      </c>
      <c r="D420" s="272" t="s">
        <v>1514</v>
      </c>
      <c r="E420" s="272" t="s">
        <v>1515</v>
      </c>
      <c r="F420" s="273">
        <v>14750</v>
      </c>
      <c r="G420" s="273">
        <v>1966.53</v>
      </c>
      <c r="H420" s="273">
        <v>12783.47</v>
      </c>
    </row>
    <row r="421" spans="1:8" ht="14.1" customHeight="1" x14ac:dyDescent="0.25">
      <c r="A421" s="264" t="s">
        <v>1516</v>
      </c>
      <c r="B421" s="264"/>
      <c r="C421" s="264" t="s">
        <v>1517</v>
      </c>
      <c r="D421" s="265" t="s">
        <v>750</v>
      </c>
      <c r="E421" s="265" t="s">
        <v>783</v>
      </c>
      <c r="F421" s="275">
        <v>19716.03</v>
      </c>
      <c r="G421" s="275">
        <v>14129.1</v>
      </c>
      <c r="H421" s="275">
        <v>5586.93</v>
      </c>
    </row>
    <row r="422" spans="1:8" ht="14.1" customHeight="1" x14ac:dyDescent="0.25">
      <c r="A422" s="264" t="s">
        <v>1518</v>
      </c>
      <c r="B422" s="264"/>
      <c r="C422" s="264" t="s">
        <v>1378</v>
      </c>
      <c r="D422" s="265" t="s">
        <v>1251</v>
      </c>
      <c r="E422" s="265" t="s">
        <v>783</v>
      </c>
      <c r="F422" s="275">
        <v>6693.19</v>
      </c>
      <c r="G422" s="275">
        <v>4796.07</v>
      </c>
      <c r="H422" s="275">
        <v>1897.12</v>
      </c>
    </row>
    <row r="423" spans="1:8" ht="14.1" customHeight="1" x14ac:dyDescent="0.25">
      <c r="A423" s="264" t="s">
        <v>1519</v>
      </c>
      <c r="B423" s="264"/>
      <c r="C423" s="264" t="s">
        <v>1380</v>
      </c>
      <c r="D423" s="265" t="s">
        <v>1419</v>
      </c>
      <c r="E423" s="265" t="s">
        <v>783</v>
      </c>
      <c r="F423" s="275">
        <v>7468.78</v>
      </c>
      <c r="G423" s="275">
        <v>5351.91</v>
      </c>
      <c r="H423" s="275">
        <v>2116.87</v>
      </c>
    </row>
    <row r="424" spans="1:8" ht="14.1" customHeight="1" x14ac:dyDescent="0.25">
      <c r="A424" s="264" t="s">
        <v>1520</v>
      </c>
      <c r="B424" s="264"/>
      <c r="C424" s="264" t="s">
        <v>1380</v>
      </c>
      <c r="D424" s="265" t="s">
        <v>1419</v>
      </c>
      <c r="E424" s="265" t="s">
        <v>783</v>
      </c>
      <c r="F424" s="275">
        <v>7468.78</v>
      </c>
      <c r="G424" s="275">
        <v>5351.91</v>
      </c>
      <c r="H424" s="275">
        <v>2116.87</v>
      </c>
    </row>
    <row r="425" spans="1:8" ht="14.1" customHeight="1" x14ac:dyDescent="0.25">
      <c r="A425" s="264" t="s">
        <v>1521</v>
      </c>
      <c r="B425" s="264"/>
      <c r="C425" s="264" t="s">
        <v>1522</v>
      </c>
      <c r="D425" s="265" t="s">
        <v>1435</v>
      </c>
      <c r="E425" s="265" t="s">
        <v>1384</v>
      </c>
      <c r="F425" s="275">
        <v>17110</v>
      </c>
      <c r="G425" s="275">
        <v>8982.23</v>
      </c>
      <c r="H425" s="275">
        <v>8127.78</v>
      </c>
    </row>
    <row r="426" spans="1:8" ht="14.1" customHeight="1" x14ac:dyDescent="0.25">
      <c r="A426" s="264" t="s">
        <v>1523</v>
      </c>
      <c r="B426" s="264"/>
      <c r="C426" s="264" t="s">
        <v>1524</v>
      </c>
      <c r="D426" s="265" t="s">
        <v>782</v>
      </c>
      <c r="E426" s="265" t="s">
        <v>783</v>
      </c>
      <c r="F426" s="275">
        <v>19716.03</v>
      </c>
      <c r="G426" s="275">
        <v>14129.1</v>
      </c>
      <c r="H426" s="275">
        <v>5586.93</v>
      </c>
    </row>
    <row r="427" spans="1:8" ht="14.1" customHeight="1" x14ac:dyDescent="0.25">
      <c r="A427" s="264" t="s">
        <v>1525</v>
      </c>
      <c r="B427" s="264"/>
      <c r="C427" s="264" t="s">
        <v>1526</v>
      </c>
      <c r="D427" s="265" t="s">
        <v>782</v>
      </c>
      <c r="E427" s="265" t="s">
        <v>783</v>
      </c>
      <c r="F427" s="275">
        <v>16374.09</v>
      </c>
      <c r="G427" s="275">
        <v>11734.05</v>
      </c>
      <c r="H427" s="275">
        <v>4640.04</v>
      </c>
    </row>
    <row r="428" spans="1:8" ht="14.1" customHeight="1" x14ac:dyDescent="0.25">
      <c r="A428" s="264" t="s">
        <v>1527</v>
      </c>
      <c r="B428" s="264"/>
      <c r="C428" s="264" t="s">
        <v>1399</v>
      </c>
      <c r="D428" s="265" t="s">
        <v>1528</v>
      </c>
      <c r="E428" s="265" t="s">
        <v>1400</v>
      </c>
      <c r="F428" s="275">
        <v>1868.33</v>
      </c>
      <c r="G428" s="275">
        <v>1027.03</v>
      </c>
      <c r="H428" s="276">
        <v>841.3</v>
      </c>
    </row>
    <row r="429" spans="1:8" ht="14.1" customHeight="1" x14ac:dyDescent="0.25">
      <c r="A429" s="264" t="s">
        <v>1529</v>
      </c>
      <c r="B429" s="264"/>
      <c r="C429" s="264" t="s">
        <v>1399</v>
      </c>
      <c r="D429" s="265" t="s">
        <v>1222</v>
      </c>
      <c r="E429" s="265" t="s">
        <v>1400</v>
      </c>
      <c r="F429" s="275">
        <v>1868.33</v>
      </c>
      <c r="G429" s="275">
        <v>1027.03</v>
      </c>
      <c r="H429" s="276">
        <v>841.3</v>
      </c>
    </row>
    <row r="430" spans="1:8" ht="14.1" customHeight="1" x14ac:dyDescent="0.25">
      <c r="A430" s="264" t="s">
        <v>1530</v>
      </c>
      <c r="B430" s="264"/>
      <c r="C430" s="264" t="s">
        <v>1499</v>
      </c>
      <c r="D430" s="265" t="s">
        <v>1387</v>
      </c>
      <c r="E430" s="265" t="s">
        <v>1388</v>
      </c>
      <c r="F430" s="275">
        <v>17440.400000000001</v>
      </c>
      <c r="G430" s="275">
        <v>9446.34</v>
      </c>
      <c r="H430" s="275">
        <v>7994.06</v>
      </c>
    </row>
    <row r="431" spans="1:8" ht="14.1" customHeight="1" x14ac:dyDescent="0.25">
      <c r="A431" s="264" t="s">
        <v>1531</v>
      </c>
      <c r="B431" s="264"/>
      <c r="C431" s="264" t="s">
        <v>1532</v>
      </c>
      <c r="D431" s="265" t="s">
        <v>1409</v>
      </c>
      <c r="E431" s="265" t="s">
        <v>1410</v>
      </c>
      <c r="F431" s="275">
        <v>10384</v>
      </c>
      <c r="G431" s="275">
        <v>4845.3999999999996</v>
      </c>
      <c r="H431" s="275">
        <v>5538.6</v>
      </c>
    </row>
    <row r="432" spans="1:8" ht="14.1" customHeight="1" x14ac:dyDescent="0.25">
      <c r="A432" s="264" t="s">
        <v>1533</v>
      </c>
      <c r="B432" s="264"/>
      <c r="C432" s="264" t="s">
        <v>1534</v>
      </c>
      <c r="D432" s="265" t="s">
        <v>1403</v>
      </c>
      <c r="E432" s="265" t="s">
        <v>1404</v>
      </c>
      <c r="F432" s="275">
        <v>9204</v>
      </c>
      <c r="G432" s="276">
        <v>996.99</v>
      </c>
      <c r="H432" s="275">
        <v>8207.01</v>
      </c>
    </row>
    <row r="433" spans="1:8" ht="14.1" customHeight="1" x14ac:dyDescent="0.25">
      <c r="A433" s="264" t="s">
        <v>1535</v>
      </c>
      <c r="B433" s="264"/>
      <c r="C433" s="264" t="s">
        <v>1422</v>
      </c>
      <c r="D433" s="265" t="s">
        <v>1423</v>
      </c>
      <c r="E433" s="265" t="s">
        <v>1424</v>
      </c>
      <c r="F433" s="275">
        <v>10722.66</v>
      </c>
      <c r="G433" s="275">
        <v>4467.3599999999997</v>
      </c>
      <c r="H433" s="275">
        <v>6255.31</v>
      </c>
    </row>
    <row r="434" spans="1:8" ht="14.1" customHeight="1" x14ac:dyDescent="0.25">
      <c r="A434" s="264" t="s">
        <v>1536</v>
      </c>
      <c r="B434" s="264"/>
      <c r="C434" s="264" t="s">
        <v>1537</v>
      </c>
      <c r="D434" s="265" t="s">
        <v>1423</v>
      </c>
      <c r="E434" s="265" t="s">
        <v>1424</v>
      </c>
      <c r="F434" s="275">
        <v>16809.810000000001</v>
      </c>
      <c r="G434" s="275">
        <v>7003.67</v>
      </c>
      <c r="H434" s="275">
        <v>9806.14</v>
      </c>
    </row>
    <row r="435" spans="1:8" ht="14.1" customHeight="1" x14ac:dyDescent="0.25">
      <c r="A435" s="264" t="s">
        <v>1538</v>
      </c>
      <c r="B435" s="264"/>
      <c r="C435" s="264" t="s">
        <v>1539</v>
      </c>
      <c r="D435" s="265" t="s">
        <v>1391</v>
      </c>
      <c r="E435" s="265" t="s">
        <v>1540</v>
      </c>
      <c r="F435" s="275">
        <v>8112.5</v>
      </c>
      <c r="G435" s="275">
        <v>2501.04</v>
      </c>
      <c r="H435" s="275">
        <v>5611.46</v>
      </c>
    </row>
    <row r="436" spans="1:8" ht="14.1" customHeight="1" x14ac:dyDescent="0.25">
      <c r="A436" s="264" t="s">
        <v>1541</v>
      </c>
      <c r="B436" s="264"/>
      <c r="C436" s="264" t="s">
        <v>1503</v>
      </c>
      <c r="D436" s="265" t="s">
        <v>1427</v>
      </c>
      <c r="E436" s="265" t="s">
        <v>1428</v>
      </c>
      <c r="F436" s="275">
        <v>9723.56</v>
      </c>
      <c r="G436" s="276">
        <v>810.21</v>
      </c>
      <c r="H436" s="275">
        <v>8913.35</v>
      </c>
    </row>
    <row r="437" spans="1:8" ht="14.1" customHeight="1" x14ac:dyDescent="0.25">
      <c r="A437" s="264" t="s">
        <v>1542</v>
      </c>
      <c r="B437" s="264"/>
      <c r="C437" s="264" t="s">
        <v>1503</v>
      </c>
      <c r="D437" s="265" t="s">
        <v>1427</v>
      </c>
      <c r="E437" s="265" t="s">
        <v>1428</v>
      </c>
      <c r="F437" s="275">
        <v>9723.56</v>
      </c>
      <c r="G437" s="276">
        <v>810.21</v>
      </c>
      <c r="H437" s="275">
        <v>8913.35</v>
      </c>
    </row>
    <row r="438" spans="1:8" ht="14.1" customHeight="1" x14ac:dyDescent="0.25">
      <c r="A438" s="264" t="s">
        <v>1543</v>
      </c>
      <c r="B438" s="264"/>
      <c r="C438" s="264" t="s">
        <v>1374</v>
      </c>
      <c r="D438" s="265" t="s">
        <v>1355</v>
      </c>
      <c r="E438" s="265" t="s">
        <v>783</v>
      </c>
      <c r="F438" s="275">
        <v>4474.5600000000004</v>
      </c>
      <c r="G438" s="275">
        <v>3206.05</v>
      </c>
      <c r="H438" s="275">
        <v>1268.51</v>
      </c>
    </row>
    <row r="439" spans="1:8" ht="14.1" customHeight="1" x14ac:dyDescent="0.25">
      <c r="A439" s="264" t="s">
        <v>1544</v>
      </c>
      <c r="B439" s="264"/>
      <c r="C439" s="264" t="s">
        <v>1376</v>
      </c>
      <c r="D439" s="265" t="s">
        <v>1355</v>
      </c>
      <c r="E439" s="265" t="s">
        <v>783</v>
      </c>
      <c r="F439" s="275">
        <v>9228.7800000000007</v>
      </c>
      <c r="G439" s="275">
        <v>6613.24</v>
      </c>
      <c r="H439" s="275">
        <v>2615.54</v>
      </c>
    </row>
    <row r="440" spans="1:8" ht="14.1" customHeight="1" x14ac:dyDescent="0.25">
      <c r="A440" s="264" t="s">
        <v>1545</v>
      </c>
      <c r="B440" s="264"/>
      <c r="C440" s="264" t="s">
        <v>1376</v>
      </c>
      <c r="D440" s="265" t="s">
        <v>837</v>
      </c>
      <c r="E440" s="265" t="s">
        <v>783</v>
      </c>
      <c r="F440" s="275">
        <v>9228.7800000000007</v>
      </c>
      <c r="G440" s="275">
        <v>6613.24</v>
      </c>
      <c r="H440" s="275">
        <v>2615.54</v>
      </c>
    </row>
    <row r="441" spans="1:8" ht="14.1" customHeight="1" x14ac:dyDescent="0.25">
      <c r="A441" s="264" t="s">
        <v>1546</v>
      </c>
      <c r="B441" s="264"/>
      <c r="C441" s="264" t="s">
        <v>1382</v>
      </c>
      <c r="D441" s="265" t="s">
        <v>1383</v>
      </c>
      <c r="E441" s="265" t="s">
        <v>1384</v>
      </c>
      <c r="F441" s="275">
        <v>12390</v>
      </c>
      <c r="G441" s="275">
        <v>6504.22</v>
      </c>
      <c r="H441" s="275">
        <v>5885.78</v>
      </c>
    </row>
    <row r="442" spans="1:8" ht="14.1" customHeight="1" x14ac:dyDescent="0.25">
      <c r="A442" s="264" t="s">
        <v>1547</v>
      </c>
      <c r="B442" s="264"/>
      <c r="C442" s="264" t="s">
        <v>1467</v>
      </c>
      <c r="D442" s="265" t="s">
        <v>782</v>
      </c>
      <c r="E442" s="265" t="s">
        <v>783</v>
      </c>
      <c r="F442" s="275">
        <v>12374.95</v>
      </c>
      <c r="G442" s="275">
        <v>8867.99</v>
      </c>
      <c r="H442" s="275">
        <v>3506.96</v>
      </c>
    </row>
    <row r="443" spans="1:8" ht="14.1" customHeight="1" x14ac:dyDescent="0.25">
      <c r="A443" s="264" t="s">
        <v>1548</v>
      </c>
      <c r="B443" s="264"/>
      <c r="C443" s="264" t="s">
        <v>1374</v>
      </c>
      <c r="D443" s="265" t="s">
        <v>782</v>
      </c>
      <c r="E443" s="265" t="s">
        <v>783</v>
      </c>
      <c r="F443" s="275">
        <v>4474.5600000000004</v>
      </c>
      <c r="G443" s="275">
        <v>3206.05</v>
      </c>
      <c r="H443" s="275">
        <v>1268.51</v>
      </c>
    </row>
    <row r="444" spans="1:8" ht="14.1" customHeight="1" x14ac:dyDescent="0.25">
      <c r="A444" s="264" t="s">
        <v>1549</v>
      </c>
      <c r="B444" s="264"/>
      <c r="C444" s="264" t="s">
        <v>1467</v>
      </c>
      <c r="D444" s="265" t="s">
        <v>1251</v>
      </c>
      <c r="E444" s="265" t="s">
        <v>783</v>
      </c>
      <c r="F444" s="275">
        <v>12374.95</v>
      </c>
      <c r="G444" s="275">
        <v>8867.99</v>
      </c>
      <c r="H444" s="275">
        <v>3506.96</v>
      </c>
    </row>
    <row r="445" spans="1:8" ht="14.1" customHeight="1" x14ac:dyDescent="0.25">
      <c r="A445" s="264" t="s">
        <v>1550</v>
      </c>
      <c r="B445" s="264"/>
      <c r="C445" s="264" t="s">
        <v>1378</v>
      </c>
      <c r="D445" s="265" t="s">
        <v>1251</v>
      </c>
      <c r="E445" s="265" t="s">
        <v>783</v>
      </c>
      <c r="F445" s="275">
        <v>6693.19</v>
      </c>
      <c r="G445" s="275">
        <v>4796.07</v>
      </c>
      <c r="H445" s="275">
        <v>1897.12</v>
      </c>
    </row>
    <row r="446" spans="1:8" ht="14.1" customHeight="1" x14ac:dyDescent="0.25">
      <c r="A446" s="264" t="s">
        <v>1551</v>
      </c>
      <c r="B446" s="264"/>
      <c r="C446" s="264" t="s">
        <v>1380</v>
      </c>
      <c r="D446" s="265" t="s">
        <v>1419</v>
      </c>
      <c r="E446" s="265" t="s">
        <v>783</v>
      </c>
      <c r="F446" s="275">
        <v>7468.78</v>
      </c>
      <c r="G446" s="275">
        <v>5351.91</v>
      </c>
      <c r="H446" s="275">
        <v>2116.87</v>
      </c>
    </row>
    <row r="447" spans="1:8" ht="14.1" customHeight="1" x14ac:dyDescent="0.25">
      <c r="A447" s="264" t="s">
        <v>1552</v>
      </c>
      <c r="B447" s="264"/>
      <c r="C447" s="264" t="s">
        <v>1380</v>
      </c>
      <c r="D447" s="265" t="s">
        <v>1419</v>
      </c>
      <c r="E447" s="265" t="s">
        <v>783</v>
      </c>
      <c r="F447" s="275">
        <v>7468.78</v>
      </c>
      <c r="G447" s="275">
        <v>5351.91</v>
      </c>
      <c r="H447" s="275">
        <v>2116.87</v>
      </c>
    </row>
    <row r="448" spans="1:8" ht="14.1" customHeight="1" x14ac:dyDescent="0.25">
      <c r="A448" s="264" t="s">
        <v>1553</v>
      </c>
      <c r="B448" s="264"/>
      <c r="C448" s="264" t="s">
        <v>1486</v>
      </c>
      <c r="D448" s="265" t="s">
        <v>1462</v>
      </c>
      <c r="E448" s="265" t="s">
        <v>1463</v>
      </c>
      <c r="F448" s="275">
        <v>19706</v>
      </c>
      <c r="G448" s="275">
        <v>2627.33</v>
      </c>
      <c r="H448" s="275">
        <v>17078.669999999998</v>
      </c>
    </row>
    <row r="449" spans="1:8" ht="14.1" customHeight="1" x14ac:dyDescent="0.25">
      <c r="A449" s="264" t="s">
        <v>1554</v>
      </c>
      <c r="B449" s="264"/>
      <c r="C449" s="264" t="s">
        <v>1490</v>
      </c>
      <c r="D449" s="265" t="s">
        <v>925</v>
      </c>
      <c r="E449" s="265" t="s">
        <v>1491</v>
      </c>
      <c r="F449" s="275">
        <v>8850</v>
      </c>
      <c r="G449" s="276">
        <v>516.19000000000005</v>
      </c>
      <c r="H449" s="275">
        <v>8333.81</v>
      </c>
    </row>
    <row r="450" spans="1:8" ht="14.1" customHeight="1" x14ac:dyDescent="0.25">
      <c r="A450" s="264" t="s">
        <v>1555</v>
      </c>
      <c r="B450" s="264"/>
      <c r="C450" s="264" t="s">
        <v>1422</v>
      </c>
      <c r="D450" s="265" t="s">
        <v>1423</v>
      </c>
      <c r="E450" s="265" t="s">
        <v>1424</v>
      </c>
      <c r="F450" s="275">
        <v>10722.66</v>
      </c>
      <c r="G450" s="275">
        <v>4467.3599999999997</v>
      </c>
      <c r="H450" s="275">
        <v>6255.31</v>
      </c>
    </row>
    <row r="451" spans="1:8" ht="14.1" customHeight="1" x14ac:dyDescent="0.25">
      <c r="A451" s="264" t="s">
        <v>1556</v>
      </c>
      <c r="B451" s="264"/>
      <c r="C451" s="264" t="s">
        <v>1557</v>
      </c>
      <c r="D451" s="265" t="s">
        <v>1423</v>
      </c>
      <c r="E451" s="265" t="s">
        <v>1424</v>
      </c>
      <c r="F451" s="275">
        <v>18880</v>
      </c>
      <c r="G451" s="275">
        <v>7866.25</v>
      </c>
      <c r="H451" s="275">
        <v>11013.75</v>
      </c>
    </row>
    <row r="452" spans="1:8" ht="14.1" customHeight="1" x14ac:dyDescent="0.25">
      <c r="A452" s="264" t="s">
        <v>1558</v>
      </c>
      <c r="B452" s="264"/>
      <c r="C452" s="264" t="s">
        <v>1399</v>
      </c>
      <c r="D452" s="265" t="s">
        <v>1222</v>
      </c>
      <c r="E452" s="265" t="s">
        <v>1400</v>
      </c>
      <c r="F452" s="275">
        <v>1868.33</v>
      </c>
      <c r="G452" s="275">
        <v>1027.03</v>
      </c>
      <c r="H452" s="276">
        <v>841.3</v>
      </c>
    </row>
    <row r="453" spans="1:8" ht="14.1" customHeight="1" x14ac:dyDescent="0.25">
      <c r="A453" s="264" t="s">
        <v>1559</v>
      </c>
      <c r="B453" s="264"/>
      <c r="C453" s="264" t="s">
        <v>1399</v>
      </c>
      <c r="D453" s="265" t="s">
        <v>1222</v>
      </c>
      <c r="E453" s="265" t="s">
        <v>1400</v>
      </c>
      <c r="F453" s="275">
        <v>1868.33</v>
      </c>
      <c r="G453" s="275">
        <v>1027.03</v>
      </c>
      <c r="H453" s="276">
        <v>841.3</v>
      </c>
    </row>
    <row r="454" spans="1:8" ht="14.1" customHeight="1" x14ac:dyDescent="0.25">
      <c r="A454" s="264" t="s">
        <v>1560</v>
      </c>
      <c r="B454" s="264"/>
      <c r="C454" s="264" t="s">
        <v>1561</v>
      </c>
      <c r="D454" s="265" t="s">
        <v>1387</v>
      </c>
      <c r="E454" s="265" t="s">
        <v>1388</v>
      </c>
      <c r="F454" s="275">
        <v>11682</v>
      </c>
      <c r="G454" s="275">
        <v>6327.2</v>
      </c>
      <c r="H454" s="275">
        <v>5354.8</v>
      </c>
    </row>
    <row r="455" spans="1:8" ht="14.1" customHeight="1" x14ac:dyDescent="0.25">
      <c r="A455" s="264" t="s">
        <v>1562</v>
      </c>
      <c r="B455" s="264"/>
      <c r="C455" s="264" t="s">
        <v>1499</v>
      </c>
      <c r="D455" s="265" t="s">
        <v>1500</v>
      </c>
      <c r="E455" s="265" t="s">
        <v>1501</v>
      </c>
      <c r="F455" s="275">
        <v>9251.2000000000007</v>
      </c>
      <c r="G455" s="275">
        <v>2852.15</v>
      </c>
      <c r="H455" s="275">
        <v>6399.06</v>
      </c>
    </row>
    <row r="456" spans="1:8" ht="14.1" customHeight="1" x14ac:dyDescent="0.25">
      <c r="A456" s="264" t="s">
        <v>1563</v>
      </c>
      <c r="B456" s="264"/>
      <c r="C456" s="264" t="s">
        <v>1503</v>
      </c>
      <c r="D456" s="265" t="s">
        <v>1427</v>
      </c>
      <c r="E456" s="265" t="s">
        <v>1428</v>
      </c>
      <c r="F456" s="275">
        <v>9723.56</v>
      </c>
      <c r="G456" s="276">
        <v>810.21</v>
      </c>
      <c r="H456" s="275">
        <v>8913.35</v>
      </c>
    </row>
    <row r="457" spans="1:8" ht="14.1" customHeight="1" x14ac:dyDescent="0.25">
      <c r="A457" s="264" t="s">
        <v>1564</v>
      </c>
      <c r="B457" s="264"/>
      <c r="C457" s="264" t="s">
        <v>1532</v>
      </c>
      <c r="D457" s="265" t="s">
        <v>1409</v>
      </c>
      <c r="E457" s="265" t="s">
        <v>1410</v>
      </c>
      <c r="F457" s="275">
        <v>10384</v>
      </c>
      <c r="G457" s="275">
        <v>4845.3999999999996</v>
      </c>
      <c r="H457" s="275">
        <v>5538.6</v>
      </c>
    </row>
    <row r="458" spans="1:8" ht="18.399999999999999" customHeight="1" x14ac:dyDescent="0.25">
      <c r="A458" s="264" t="s">
        <v>1565</v>
      </c>
      <c r="B458" s="264"/>
      <c r="C458" s="264" t="s">
        <v>1476</v>
      </c>
      <c r="D458" s="265" t="s">
        <v>1477</v>
      </c>
      <c r="E458" s="265" t="s">
        <v>1478</v>
      </c>
      <c r="F458" s="275">
        <v>3926.21</v>
      </c>
      <c r="G458" s="275">
        <v>1700.92</v>
      </c>
      <c r="H458" s="275">
        <v>2225.29</v>
      </c>
    </row>
    <row r="459" spans="1:8" s="280" customFormat="1" ht="14.1" customHeight="1" x14ac:dyDescent="0.25">
      <c r="A459" s="270" t="s">
        <v>1566</v>
      </c>
      <c r="B459" s="270"/>
      <c r="C459" s="271" t="s">
        <v>1567</v>
      </c>
      <c r="D459" s="272" t="s">
        <v>1568</v>
      </c>
      <c r="E459" s="272" t="s">
        <v>1369</v>
      </c>
      <c r="F459" s="273">
        <v>9228.7800000000007</v>
      </c>
      <c r="G459" s="273">
        <v>6613.24</v>
      </c>
      <c r="H459" s="273">
        <v>2615.54</v>
      </c>
    </row>
    <row r="460" spans="1:8" ht="14.1" customHeight="1" x14ac:dyDescent="0.25">
      <c r="A460" s="264" t="s">
        <v>1569</v>
      </c>
      <c r="B460" s="264"/>
      <c r="C460" s="274" t="s">
        <v>1376</v>
      </c>
      <c r="D460" s="265" t="s">
        <v>837</v>
      </c>
      <c r="E460" s="265" t="s">
        <v>783</v>
      </c>
      <c r="F460" s="275">
        <v>9228.7800000000007</v>
      </c>
      <c r="G460" s="275">
        <v>6613.24</v>
      </c>
      <c r="H460" s="275">
        <v>2615.54</v>
      </c>
    </row>
    <row r="461" spans="1:8" ht="14.1" customHeight="1" x14ac:dyDescent="0.25">
      <c r="A461" s="264" t="s">
        <v>1570</v>
      </c>
      <c r="B461" s="264"/>
      <c r="C461" s="274" t="s">
        <v>1522</v>
      </c>
      <c r="D461" s="265" t="s">
        <v>1435</v>
      </c>
      <c r="E461" s="265" t="s">
        <v>1384</v>
      </c>
      <c r="F461" s="275">
        <v>17110</v>
      </c>
      <c r="G461" s="275">
        <v>8982.23</v>
      </c>
      <c r="H461" s="275">
        <v>8127.78</v>
      </c>
    </row>
    <row r="462" spans="1:8" ht="14.1" customHeight="1" x14ac:dyDescent="0.25">
      <c r="A462" s="264" t="s">
        <v>1571</v>
      </c>
      <c r="B462" s="264"/>
      <c r="C462" s="274" t="s">
        <v>1524</v>
      </c>
      <c r="D462" s="265" t="s">
        <v>782</v>
      </c>
      <c r="E462" s="265" t="s">
        <v>783</v>
      </c>
      <c r="F462" s="275">
        <v>19716.03</v>
      </c>
      <c r="G462" s="275">
        <v>14129.1</v>
      </c>
      <c r="H462" s="275">
        <v>5586.93</v>
      </c>
    </row>
    <row r="463" spans="1:8" ht="14.1" customHeight="1" x14ac:dyDescent="0.25">
      <c r="A463" s="264" t="s">
        <v>1572</v>
      </c>
      <c r="B463" s="264"/>
      <c r="C463" s="274" t="s">
        <v>1526</v>
      </c>
      <c r="D463" s="265" t="s">
        <v>782</v>
      </c>
      <c r="E463" s="265" t="s">
        <v>783</v>
      </c>
      <c r="F463" s="275">
        <v>16374.09</v>
      </c>
      <c r="G463" s="275">
        <v>11734.05</v>
      </c>
      <c r="H463" s="275">
        <v>4640.04</v>
      </c>
    </row>
    <row r="464" spans="1:8" ht="14.1" customHeight="1" x14ac:dyDescent="0.25">
      <c r="A464" s="264" t="s">
        <v>1573</v>
      </c>
      <c r="B464" s="264"/>
      <c r="C464" s="274" t="s">
        <v>1399</v>
      </c>
      <c r="D464" s="265" t="s">
        <v>1222</v>
      </c>
      <c r="E464" s="265" t="s">
        <v>1400</v>
      </c>
      <c r="F464" s="275">
        <v>1868.33</v>
      </c>
      <c r="G464" s="275">
        <v>1027.03</v>
      </c>
      <c r="H464" s="276">
        <v>841.3</v>
      </c>
    </row>
    <row r="465" spans="1:8" ht="14.1" customHeight="1" x14ac:dyDescent="0.25">
      <c r="A465" s="264" t="s">
        <v>1574</v>
      </c>
      <c r="B465" s="264"/>
      <c r="C465" s="274" t="s">
        <v>1499</v>
      </c>
      <c r="D465" s="265" t="s">
        <v>1387</v>
      </c>
      <c r="E465" s="265" t="s">
        <v>1388</v>
      </c>
      <c r="F465" s="275">
        <v>17440.400000000001</v>
      </c>
      <c r="G465" s="275">
        <v>9446.34</v>
      </c>
      <c r="H465" s="275">
        <v>7994.06</v>
      </c>
    </row>
    <row r="466" spans="1:8" ht="14.1" customHeight="1" x14ac:dyDescent="0.25">
      <c r="A466" s="264" t="s">
        <v>1575</v>
      </c>
      <c r="B466" s="264"/>
      <c r="C466" s="274" t="s">
        <v>1422</v>
      </c>
      <c r="D466" s="265" t="s">
        <v>1423</v>
      </c>
      <c r="E466" s="265" t="s">
        <v>1424</v>
      </c>
      <c r="F466" s="275">
        <v>10722.66</v>
      </c>
      <c r="G466" s="275">
        <v>4467.3599999999997</v>
      </c>
      <c r="H466" s="275">
        <v>6255.31</v>
      </c>
    </row>
    <row r="467" spans="1:8" ht="14.1" customHeight="1" x14ac:dyDescent="0.25">
      <c r="A467" s="264" t="s">
        <v>1576</v>
      </c>
      <c r="B467" s="264"/>
      <c r="C467" s="274" t="s">
        <v>1537</v>
      </c>
      <c r="D467" s="265" t="s">
        <v>1423</v>
      </c>
      <c r="E467" s="265" t="s">
        <v>1424</v>
      </c>
      <c r="F467" s="275">
        <v>16809.810000000001</v>
      </c>
      <c r="G467" s="275">
        <v>7003.67</v>
      </c>
      <c r="H467" s="275">
        <v>9806.14</v>
      </c>
    </row>
    <row r="468" spans="1:8" ht="14.1" customHeight="1" x14ac:dyDescent="0.25">
      <c r="A468" s="264" t="s">
        <v>1577</v>
      </c>
      <c r="B468" s="264"/>
      <c r="C468" s="274" t="s">
        <v>1517</v>
      </c>
      <c r="D468" s="265" t="s">
        <v>750</v>
      </c>
      <c r="E468" s="265" t="s">
        <v>783</v>
      </c>
      <c r="F468" s="275">
        <v>19716.03</v>
      </c>
      <c r="G468" s="275">
        <v>14129.1</v>
      </c>
      <c r="H468" s="275">
        <v>5586.93</v>
      </c>
    </row>
    <row r="469" spans="1:8" ht="14.1" customHeight="1" x14ac:dyDescent="0.25">
      <c r="A469" s="264" t="s">
        <v>1578</v>
      </c>
      <c r="B469" s="264"/>
      <c r="C469" s="274" t="s">
        <v>1378</v>
      </c>
      <c r="D469" s="265" t="s">
        <v>1251</v>
      </c>
      <c r="E469" s="265" t="s">
        <v>783</v>
      </c>
      <c r="F469" s="275">
        <v>6693.19</v>
      </c>
      <c r="G469" s="275">
        <v>4796.07</v>
      </c>
      <c r="H469" s="275">
        <v>1897.12</v>
      </c>
    </row>
    <row r="470" spans="1:8" ht="14.1" customHeight="1" x14ac:dyDescent="0.25">
      <c r="A470" s="264" t="s">
        <v>1579</v>
      </c>
      <c r="B470" s="264"/>
      <c r="C470" s="274" t="s">
        <v>1499</v>
      </c>
      <c r="D470" s="265" t="s">
        <v>1419</v>
      </c>
      <c r="E470" s="265" t="s">
        <v>783</v>
      </c>
      <c r="F470" s="275">
        <v>12744</v>
      </c>
      <c r="G470" s="275">
        <v>9132.48</v>
      </c>
      <c r="H470" s="275">
        <v>3611.52</v>
      </c>
    </row>
    <row r="471" spans="1:8" ht="14.1" customHeight="1" x14ac:dyDescent="0.25">
      <c r="A471" s="264" t="s">
        <v>1580</v>
      </c>
      <c r="B471" s="264"/>
      <c r="C471" s="274" t="s">
        <v>1380</v>
      </c>
      <c r="D471" s="265" t="s">
        <v>1419</v>
      </c>
      <c r="E471" s="265" t="s">
        <v>783</v>
      </c>
      <c r="F471" s="275">
        <v>7468.78</v>
      </c>
      <c r="G471" s="275">
        <v>5351.91</v>
      </c>
      <c r="H471" s="275">
        <v>2116.87</v>
      </c>
    </row>
    <row r="472" spans="1:8" ht="14.1" customHeight="1" x14ac:dyDescent="0.25">
      <c r="A472" s="264" t="s">
        <v>1581</v>
      </c>
      <c r="B472" s="264"/>
      <c r="C472" s="274" t="s">
        <v>1582</v>
      </c>
      <c r="D472" s="265" t="s">
        <v>1403</v>
      </c>
      <c r="E472" s="265" t="s">
        <v>1404</v>
      </c>
      <c r="F472" s="275">
        <v>8850</v>
      </c>
      <c r="G472" s="276">
        <v>958.64</v>
      </c>
      <c r="H472" s="275">
        <v>7891.36</v>
      </c>
    </row>
    <row r="473" spans="1:8" ht="14.1" customHeight="1" x14ac:dyDescent="0.25">
      <c r="A473" s="264" t="s">
        <v>1583</v>
      </c>
      <c r="B473" s="264"/>
      <c r="C473" s="274" t="s">
        <v>1539</v>
      </c>
      <c r="D473" s="265" t="s">
        <v>1391</v>
      </c>
      <c r="E473" s="265" t="s">
        <v>1540</v>
      </c>
      <c r="F473" s="275">
        <v>8112.5</v>
      </c>
      <c r="G473" s="275">
        <v>2501.04</v>
      </c>
      <c r="H473" s="275">
        <v>5611.46</v>
      </c>
    </row>
    <row r="474" spans="1:8" ht="14.1" customHeight="1" x14ac:dyDescent="0.25">
      <c r="A474" s="264" t="s">
        <v>1584</v>
      </c>
      <c r="B474" s="264"/>
      <c r="C474" s="274" t="s">
        <v>1585</v>
      </c>
      <c r="D474" s="265" t="s">
        <v>817</v>
      </c>
      <c r="E474" s="265" t="s">
        <v>1586</v>
      </c>
      <c r="F474" s="275">
        <v>124589.52</v>
      </c>
      <c r="G474" s="275">
        <v>16611.8</v>
      </c>
      <c r="H474" s="275">
        <v>107977.72</v>
      </c>
    </row>
    <row r="475" spans="1:8" ht="14.1" customHeight="1" x14ac:dyDescent="0.25">
      <c r="A475" s="264" t="s">
        <v>1587</v>
      </c>
      <c r="B475" s="264"/>
      <c r="C475" s="274" t="s">
        <v>1503</v>
      </c>
      <c r="D475" s="265" t="s">
        <v>1427</v>
      </c>
      <c r="E475" s="265" t="s">
        <v>1428</v>
      </c>
      <c r="F475" s="275">
        <v>9723.56</v>
      </c>
      <c r="G475" s="276">
        <v>810.21</v>
      </c>
      <c r="H475" s="275">
        <v>8913.35</v>
      </c>
    </row>
    <row r="476" spans="1:8" ht="14.1" customHeight="1" x14ac:dyDescent="0.25">
      <c r="A476" s="264" t="s">
        <v>1588</v>
      </c>
      <c r="B476" s="264"/>
      <c r="C476" s="274" t="s">
        <v>1376</v>
      </c>
      <c r="D476" s="265" t="s">
        <v>837</v>
      </c>
      <c r="E476" s="265" t="s">
        <v>783</v>
      </c>
      <c r="F476" s="275">
        <v>9228.7800000000007</v>
      </c>
      <c r="G476" s="275">
        <v>6613.24</v>
      </c>
      <c r="H476" s="275">
        <v>2615.54</v>
      </c>
    </row>
    <row r="477" spans="1:8" ht="14.1" customHeight="1" x14ac:dyDescent="0.25">
      <c r="A477" s="264" t="s">
        <v>1589</v>
      </c>
      <c r="B477" s="264"/>
      <c r="C477" s="274" t="s">
        <v>1590</v>
      </c>
      <c r="D477" s="265" t="s">
        <v>1591</v>
      </c>
      <c r="E477" s="265" t="s">
        <v>1592</v>
      </c>
      <c r="F477" s="275">
        <v>19670.599999999999</v>
      </c>
      <c r="G477" s="275">
        <v>5245.23</v>
      </c>
      <c r="H477" s="275">
        <v>14425.37</v>
      </c>
    </row>
    <row r="478" spans="1:8" ht="14.1" customHeight="1" x14ac:dyDescent="0.25">
      <c r="A478" s="264" t="s">
        <v>1593</v>
      </c>
      <c r="B478" s="264"/>
      <c r="C478" s="274" t="s">
        <v>1524</v>
      </c>
      <c r="D478" s="265" t="s">
        <v>782</v>
      </c>
      <c r="E478" s="265" t="s">
        <v>783</v>
      </c>
      <c r="F478" s="275">
        <v>19716.03</v>
      </c>
      <c r="G478" s="275">
        <v>14129.1</v>
      </c>
      <c r="H478" s="275">
        <v>5586.93</v>
      </c>
    </row>
    <row r="479" spans="1:8" ht="14.1" customHeight="1" x14ac:dyDescent="0.25">
      <c r="A479" s="264" t="s">
        <v>1594</v>
      </c>
      <c r="B479" s="264"/>
      <c r="C479" s="274" t="s">
        <v>1380</v>
      </c>
      <c r="D479" s="265" t="s">
        <v>782</v>
      </c>
      <c r="E479" s="265" t="s">
        <v>783</v>
      </c>
      <c r="F479" s="275">
        <v>7468.78</v>
      </c>
      <c r="G479" s="275">
        <v>5351.91</v>
      </c>
      <c r="H479" s="275">
        <v>2116.87</v>
      </c>
    </row>
    <row r="480" spans="1:8" ht="14.1" customHeight="1" x14ac:dyDescent="0.25">
      <c r="A480" s="264" t="s">
        <v>1595</v>
      </c>
      <c r="B480" s="264"/>
      <c r="C480" s="274" t="s">
        <v>1522</v>
      </c>
      <c r="D480" s="265" t="s">
        <v>1435</v>
      </c>
      <c r="E480" s="265" t="s">
        <v>1384</v>
      </c>
      <c r="F480" s="275">
        <v>17110</v>
      </c>
      <c r="G480" s="275">
        <v>8982.23</v>
      </c>
      <c r="H480" s="275">
        <v>8127.78</v>
      </c>
    </row>
    <row r="481" spans="1:8" ht="14.1" customHeight="1" x14ac:dyDescent="0.25">
      <c r="A481" s="264" t="s">
        <v>1596</v>
      </c>
      <c r="B481" s="264"/>
      <c r="C481" s="274" t="s">
        <v>1378</v>
      </c>
      <c r="D481" s="265" t="s">
        <v>1251</v>
      </c>
      <c r="E481" s="265" t="s">
        <v>783</v>
      </c>
      <c r="F481" s="275">
        <v>6693.19</v>
      </c>
      <c r="G481" s="275">
        <v>4796.07</v>
      </c>
      <c r="H481" s="275">
        <v>1897.12</v>
      </c>
    </row>
    <row r="482" spans="1:8" ht="14.1" customHeight="1" x14ac:dyDescent="0.25">
      <c r="A482" s="264" t="s">
        <v>1597</v>
      </c>
      <c r="B482" s="264"/>
      <c r="C482" s="274" t="s">
        <v>1499</v>
      </c>
      <c r="D482" s="265" t="s">
        <v>1419</v>
      </c>
      <c r="E482" s="265" t="s">
        <v>783</v>
      </c>
      <c r="F482" s="275">
        <v>7271.16</v>
      </c>
      <c r="G482" s="275">
        <v>5210.28</v>
      </c>
      <c r="H482" s="275">
        <v>2060.88</v>
      </c>
    </row>
    <row r="483" spans="1:8" ht="14.1" customHeight="1" x14ac:dyDescent="0.25">
      <c r="A483" s="264" t="s">
        <v>1598</v>
      </c>
      <c r="B483" s="264"/>
      <c r="C483" s="274" t="s">
        <v>1380</v>
      </c>
      <c r="D483" s="265" t="s">
        <v>1419</v>
      </c>
      <c r="E483" s="265" t="s">
        <v>783</v>
      </c>
      <c r="F483" s="275">
        <v>7468.78</v>
      </c>
      <c r="G483" s="275">
        <v>5351.91</v>
      </c>
      <c r="H483" s="275">
        <v>2116.87</v>
      </c>
    </row>
    <row r="484" spans="1:8" ht="14.1" customHeight="1" x14ac:dyDescent="0.25">
      <c r="A484" s="264" t="s">
        <v>1599</v>
      </c>
      <c r="B484" s="264"/>
      <c r="C484" s="274" t="s">
        <v>1380</v>
      </c>
      <c r="D484" s="265" t="s">
        <v>1419</v>
      </c>
      <c r="E484" s="265" t="s">
        <v>783</v>
      </c>
      <c r="F484" s="275">
        <v>7468.78</v>
      </c>
      <c r="G484" s="275">
        <v>5351.91</v>
      </c>
      <c r="H484" s="275">
        <v>2116.87</v>
      </c>
    </row>
    <row r="485" spans="1:8" ht="14.1" customHeight="1" x14ac:dyDescent="0.25">
      <c r="A485" s="264" t="s">
        <v>1600</v>
      </c>
      <c r="B485" s="264"/>
      <c r="C485" s="274" t="s">
        <v>1582</v>
      </c>
      <c r="D485" s="265" t="s">
        <v>1403</v>
      </c>
      <c r="E485" s="265" t="s">
        <v>1404</v>
      </c>
      <c r="F485" s="275">
        <v>8850</v>
      </c>
      <c r="G485" s="276">
        <v>958.64</v>
      </c>
      <c r="H485" s="275">
        <v>7891.36</v>
      </c>
    </row>
    <row r="486" spans="1:8" ht="14.1" customHeight="1" x14ac:dyDescent="0.25">
      <c r="A486" s="264" t="s">
        <v>1601</v>
      </c>
      <c r="B486" s="264"/>
      <c r="C486" s="274" t="s">
        <v>1602</v>
      </c>
      <c r="D486" s="265" t="s">
        <v>1395</v>
      </c>
      <c r="E486" s="265" t="s">
        <v>1603</v>
      </c>
      <c r="F486" s="275">
        <v>22420</v>
      </c>
      <c r="G486" s="275">
        <v>7286.18</v>
      </c>
      <c r="H486" s="275">
        <v>15133.83</v>
      </c>
    </row>
    <row r="487" spans="1:8" ht="14.1" customHeight="1" x14ac:dyDescent="0.25">
      <c r="A487" s="264" t="s">
        <v>1604</v>
      </c>
      <c r="B487" s="264"/>
      <c r="C487" s="274" t="s">
        <v>1539</v>
      </c>
      <c r="D487" s="265" t="s">
        <v>1605</v>
      </c>
      <c r="E487" s="265" t="s">
        <v>1540</v>
      </c>
      <c r="F487" s="275">
        <v>8112.5</v>
      </c>
      <c r="G487" s="275">
        <v>2501.04</v>
      </c>
      <c r="H487" s="275">
        <v>5611.46</v>
      </c>
    </row>
    <row r="488" spans="1:8" ht="14.1" customHeight="1" x14ac:dyDescent="0.25">
      <c r="A488" s="264" t="s">
        <v>1606</v>
      </c>
      <c r="B488" s="264"/>
      <c r="C488" s="274" t="s">
        <v>1399</v>
      </c>
      <c r="D488" s="265" t="s">
        <v>1222</v>
      </c>
      <c r="E488" s="265" t="s">
        <v>1400</v>
      </c>
      <c r="F488" s="275">
        <v>1868.33</v>
      </c>
      <c r="G488" s="275">
        <v>1027.03</v>
      </c>
      <c r="H488" s="276">
        <v>841.3</v>
      </c>
    </row>
    <row r="489" spans="1:8" ht="14.1" customHeight="1" x14ac:dyDescent="0.25">
      <c r="A489" s="264" t="s">
        <v>1607</v>
      </c>
      <c r="B489" s="264"/>
      <c r="C489" s="274" t="s">
        <v>1499</v>
      </c>
      <c r="D489" s="265" t="s">
        <v>1387</v>
      </c>
      <c r="E489" s="265" t="s">
        <v>1388</v>
      </c>
      <c r="F489" s="275">
        <v>17440.400000000001</v>
      </c>
      <c r="G489" s="275">
        <v>9446.34</v>
      </c>
      <c r="H489" s="275">
        <v>7994.06</v>
      </c>
    </row>
    <row r="490" spans="1:8" ht="14.1" customHeight="1" x14ac:dyDescent="0.25">
      <c r="A490" s="264" t="s">
        <v>1608</v>
      </c>
      <c r="B490" s="264"/>
      <c r="C490" s="274" t="s">
        <v>1503</v>
      </c>
      <c r="D490" s="265" t="s">
        <v>1427</v>
      </c>
      <c r="E490" s="265" t="s">
        <v>1428</v>
      </c>
      <c r="F490" s="275">
        <v>9723.56</v>
      </c>
      <c r="G490" s="276">
        <v>810.21</v>
      </c>
      <c r="H490" s="275">
        <v>8913.35</v>
      </c>
    </row>
    <row r="491" spans="1:8" ht="14.1" customHeight="1" x14ac:dyDescent="0.25">
      <c r="A491" s="264" t="s">
        <v>1609</v>
      </c>
      <c r="B491" s="264"/>
      <c r="C491" s="274" t="s">
        <v>1422</v>
      </c>
      <c r="D491" s="265" t="s">
        <v>1423</v>
      </c>
      <c r="E491" s="265" t="s">
        <v>1424</v>
      </c>
      <c r="F491" s="275">
        <v>10722.66</v>
      </c>
      <c r="G491" s="275">
        <v>4467.3599999999997</v>
      </c>
      <c r="H491" s="275">
        <v>6255.31</v>
      </c>
    </row>
    <row r="492" spans="1:8" ht="21.2" customHeight="1" x14ac:dyDescent="0.25">
      <c r="A492" s="264" t="s">
        <v>1610</v>
      </c>
      <c r="B492" s="264"/>
      <c r="C492" s="274" t="s">
        <v>1422</v>
      </c>
      <c r="D492" s="265" t="s">
        <v>1423</v>
      </c>
      <c r="E492" s="265" t="s">
        <v>1424</v>
      </c>
      <c r="F492" s="275">
        <v>10722.66</v>
      </c>
      <c r="G492" s="275">
        <v>4467.3599999999997</v>
      </c>
      <c r="H492" s="275">
        <v>6255.31</v>
      </c>
    </row>
    <row r="493" spans="1:8" ht="21.2" customHeight="1" x14ac:dyDescent="0.25">
      <c r="A493" s="268" t="s">
        <v>1611</v>
      </c>
      <c r="B493" s="268"/>
      <c r="C493" s="268"/>
      <c r="D493" s="268"/>
      <c r="E493" s="268"/>
      <c r="F493" s="277">
        <v>256212.58</v>
      </c>
      <c r="G493" s="277">
        <v>158369.23000000001</v>
      </c>
      <c r="H493" s="277">
        <v>97843.35</v>
      </c>
    </row>
    <row r="494" spans="1:8" ht="14.1" customHeight="1" x14ac:dyDescent="0.25">
      <c r="A494" s="264" t="s">
        <v>1612</v>
      </c>
      <c r="B494" s="264"/>
      <c r="C494" s="274" t="s">
        <v>1613</v>
      </c>
      <c r="D494" s="265" t="s">
        <v>801</v>
      </c>
      <c r="E494" s="265" t="s">
        <v>1614</v>
      </c>
      <c r="F494" s="275">
        <v>76000</v>
      </c>
      <c r="G494" s="275">
        <v>75999</v>
      </c>
      <c r="H494" s="276">
        <v>1</v>
      </c>
    </row>
    <row r="495" spans="1:8" ht="14.1" customHeight="1" x14ac:dyDescent="0.25">
      <c r="A495" s="264" t="s">
        <v>1615</v>
      </c>
      <c r="B495" s="264"/>
      <c r="C495" s="274" t="s">
        <v>1616</v>
      </c>
      <c r="D495" s="265" t="s">
        <v>862</v>
      </c>
      <c r="E495" s="265" t="s">
        <v>1617</v>
      </c>
      <c r="F495" s="275">
        <v>108712.5</v>
      </c>
      <c r="G495" s="275">
        <v>10871.15</v>
      </c>
      <c r="H495" s="275">
        <v>97841.35</v>
      </c>
    </row>
    <row r="496" spans="1:8" ht="21.2" customHeight="1" x14ac:dyDescent="0.25">
      <c r="A496" s="264" t="s">
        <v>1618</v>
      </c>
      <c r="B496" s="264"/>
      <c r="C496" s="274" t="s">
        <v>1619</v>
      </c>
      <c r="D496" s="265" t="s">
        <v>750</v>
      </c>
      <c r="E496" s="265" t="s">
        <v>751</v>
      </c>
      <c r="F496" s="275">
        <v>71500.08</v>
      </c>
      <c r="G496" s="275">
        <v>71499.08</v>
      </c>
      <c r="H496" s="276">
        <v>1</v>
      </c>
    </row>
    <row r="497" spans="1:8" ht="21.2" customHeight="1" x14ac:dyDescent="0.25">
      <c r="A497" s="268" t="s">
        <v>1620</v>
      </c>
      <c r="B497" s="268"/>
      <c r="C497" s="268"/>
      <c r="D497" s="268"/>
      <c r="E497" s="268"/>
      <c r="F497" s="277">
        <v>42246.36</v>
      </c>
      <c r="G497" s="277">
        <v>31441.98</v>
      </c>
      <c r="H497" s="277">
        <v>10804.38</v>
      </c>
    </row>
    <row r="498" spans="1:8" ht="14.1" customHeight="1" x14ac:dyDescent="0.25">
      <c r="A498" s="264" t="s">
        <v>1621</v>
      </c>
      <c r="B498" s="264"/>
      <c r="C498" s="264" t="s">
        <v>1622</v>
      </c>
      <c r="D498" s="265" t="s">
        <v>1395</v>
      </c>
      <c r="E498" s="265" t="s">
        <v>1623</v>
      </c>
      <c r="F498" s="275">
        <v>5787.9</v>
      </c>
      <c r="G498" s="275">
        <v>3954.38</v>
      </c>
      <c r="H498" s="275">
        <v>1833.52</v>
      </c>
    </row>
    <row r="499" spans="1:8" ht="14.1" customHeight="1" x14ac:dyDescent="0.25">
      <c r="A499" s="264" t="s">
        <v>1624</v>
      </c>
      <c r="B499" s="264"/>
      <c r="C499" s="264" t="s">
        <v>1625</v>
      </c>
      <c r="D499" s="265" t="s">
        <v>1395</v>
      </c>
      <c r="E499" s="265" t="s">
        <v>771</v>
      </c>
      <c r="F499" s="275">
        <v>1740.5</v>
      </c>
      <c r="G499" s="275">
        <v>1159.6600000000001</v>
      </c>
      <c r="H499" s="276">
        <v>580.84</v>
      </c>
    </row>
    <row r="500" spans="1:8" ht="14.1" customHeight="1" x14ac:dyDescent="0.25">
      <c r="A500" s="264" t="s">
        <v>1626</v>
      </c>
      <c r="B500" s="264"/>
      <c r="C500" s="264" t="s">
        <v>1627</v>
      </c>
      <c r="D500" s="265" t="s">
        <v>1628</v>
      </c>
      <c r="E500" s="265" t="s">
        <v>1330</v>
      </c>
      <c r="F500" s="275">
        <v>8024</v>
      </c>
      <c r="G500" s="275">
        <v>8023</v>
      </c>
      <c r="H500" s="276">
        <v>1</v>
      </c>
    </row>
    <row r="501" spans="1:8" ht="14.1" customHeight="1" x14ac:dyDescent="0.25">
      <c r="A501" s="264" t="s">
        <v>1629</v>
      </c>
      <c r="B501" s="264"/>
      <c r="C501" s="264" t="s">
        <v>1630</v>
      </c>
      <c r="D501" s="265" t="s">
        <v>1064</v>
      </c>
      <c r="E501" s="265" t="s">
        <v>1631</v>
      </c>
      <c r="F501" s="275">
        <v>6456.96</v>
      </c>
      <c r="G501" s="275">
        <v>1613.99</v>
      </c>
      <c r="H501" s="275">
        <v>4842.97</v>
      </c>
    </row>
    <row r="502" spans="1:8" ht="14.1" customHeight="1" x14ac:dyDescent="0.25">
      <c r="A502" s="264" t="s">
        <v>1632</v>
      </c>
      <c r="B502" s="264"/>
      <c r="C502" s="264" t="s">
        <v>349</v>
      </c>
      <c r="D502" s="265" t="s">
        <v>1222</v>
      </c>
      <c r="E502" s="265" t="s">
        <v>1223</v>
      </c>
      <c r="F502" s="275">
        <v>4012</v>
      </c>
      <c r="G502" s="275">
        <v>2239.48</v>
      </c>
      <c r="H502" s="275">
        <v>1772.53</v>
      </c>
    </row>
    <row r="503" spans="1:8" ht="14.1" customHeight="1" x14ac:dyDescent="0.25">
      <c r="A503" s="264" t="s">
        <v>1633</v>
      </c>
      <c r="B503" s="264"/>
      <c r="C503" s="264" t="s">
        <v>349</v>
      </c>
      <c r="D503" s="265" t="s">
        <v>1222</v>
      </c>
      <c r="E503" s="265" t="s">
        <v>1223</v>
      </c>
      <c r="F503" s="275">
        <v>4012</v>
      </c>
      <c r="G503" s="275">
        <v>2239.48</v>
      </c>
      <c r="H503" s="275">
        <v>1772.53</v>
      </c>
    </row>
    <row r="504" spans="1:8" ht="18.399999999999999" customHeight="1" x14ac:dyDescent="0.25">
      <c r="A504" s="264" t="s">
        <v>1634</v>
      </c>
      <c r="B504" s="264"/>
      <c r="C504" s="264" t="s">
        <v>1635</v>
      </c>
      <c r="D504" s="265" t="s">
        <v>1628</v>
      </c>
      <c r="E504" s="265" t="s">
        <v>1330</v>
      </c>
      <c r="F504" s="275">
        <v>12213</v>
      </c>
      <c r="G504" s="275">
        <v>12212</v>
      </c>
      <c r="H504" s="276">
        <v>1</v>
      </c>
    </row>
    <row r="505" spans="1:8" ht="18.399999999999999" customHeight="1" x14ac:dyDescent="0.25">
      <c r="A505" s="267" t="s">
        <v>1636</v>
      </c>
      <c r="B505" s="267"/>
      <c r="C505" s="267"/>
      <c r="D505" s="267"/>
      <c r="E505" s="267"/>
      <c r="F505" s="282">
        <v>2742280.77</v>
      </c>
      <c r="G505" s="282">
        <v>2299699.15</v>
      </c>
      <c r="H505" s="282">
        <v>442581.62</v>
      </c>
    </row>
    <row r="506" spans="1:8" ht="14.1" customHeight="1" x14ac:dyDescent="0.25">
      <c r="A506" s="264" t="s">
        <v>1637</v>
      </c>
      <c r="B506" s="264"/>
      <c r="C506" s="264" t="s">
        <v>1638</v>
      </c>
      <c r="D506" s="265" t="s">
        <v>1639</v>
      </c>
      <c r="E506" s="265" t="s">
        <v>1640</v>
      </c>
      <c r="F506" s="275">
        <v>45912.62</v>
      </c>
      <c r="G506" s="275">
        <v>41320.449999999997</v>
      </c>
      <c r="H506" s="275">
        <v>4592.17</v>
      </c>
    </row>
    <row r="507" spans="1:8" ht="14.1" customHeight="1" x14ac:dyDescent="0.25">
      <c r="A507" s="264" t="s">
        <v>1641</v>
      </c>
      <c r="B507" s="264"/>
      <c r="C507" s="264" t="s">
        <v>1642</v>
      </c>
      <c r="D507" s="265" t="s">
        <v>1639</v>
      </c>
      <c r="E507" s="265" t="s">
        <v>1640</v>
      </c>
      <c r="F507" s="275">
        <v>86793.72</v>
      </c>
      <c r="G507" s="275">
        <v>78113.45</v>
      </c>
      <c r="H507" s="275">
        <v>8680.27</v>
      </c>
    </row>
    <row r="508" spans="1:8" ht="14.1" customHeight="1" x14ac:dyDescent="0.25">
      <c r="A508" s="264" t="s">
        <v>1643</v>
      </c>
      <c r="B508" s="264"/>
      <c r="C508" s="264" t="s">
        <v>1644</v>
      </c>
      <c r="D508" s="265" t="s">
        <v>1639</v>
      </c>
      <c r="E508" s="265" t="s">
        <v>1640</v>
      </c>
      <c r="F508" s="275">
        <v>43580.94</v>
      </c>
      <c r="G508" s="275">
        <v>39221.94</v>
      </c>
      <c r="H508" s="275">
        <v>4359</v>
      </c>
    </row>
    <row r="509" spans="1:8" ht="14.1" customHeight="1" x14ac:dyDescent="0.25">
      <c r="A509" s="264" t="s">
        <v>1645</v>
      </c>
      <c r="B509" s="264"/>
      <c r="C509" s="264" t="s">
        <v>1646</v>
      </c>
      <c r="D509" s="265" t="s">
        <v>1647</v>
      </c>
      <c r="E509" s="265" t="s">
        <v>783</v>
      </c>
      <c r="F509" s="275">
        <v>319957</v>
      </c>
      <c r="G509" s="275">
        <v>319956</v>
      </c>
      <c r="H509" s="276">
        <v>1</v>
      </c>
    </row>
    <row r="510" spans="1:8" ht="14.1" customHeight="1" x14ac:dyDescent="0.25">
      <c r="A510" s="264" t="s">
        <v>1648</v>
      </c>
      <c r="B510" s="264"/>
      <c r="C510" s="264" t="s">
        <v>1649</v>
      </c>
      <c r="D510" s="265" t="s">
        <v>1650</v>
      </c>
      <c r="E510" s="265" t="s">
        <v>1651</v>
      </c>
      <c r="F510" s="275">
        <v>181012</v>
      </c>
      <c r="G510" s="275">
        <v>120674</v>
      </c>
      <c r="H510" s="275">
        <v>60338</v>
      </c>
    </row>
    <row r="511" spans="1:8" ht="14.1" customHeight="1" x14ac:dyDescent="0.25">
      <c r="A511" s="264" t="s">
        <v>1652</v>
      </c>
      <c r="B511" s="264"/>
      <c r="C511" s="264" t="s">
        <v>1653</v>
      </c>
      <c r="D511" s="265" t="s">
        <v>1650</v>
      </c>
      <c r="E511" s="265" t="s">
        <v>1654</v>
      </c>
      <c r="F511" s="275">
        <v>35028.01</v>
      </c>
      <c r="G511" s="275">
        <v>22767.56</v>
      </c>
      <c r="H511" s="275">
        <v>12260.45</v>
      </c>
    </row>
    <row r="512" spans="1:8" ht="14.1" customHeight="1" x14ac:dyDescent="0.25">
      <c r="A512" s="264" t="s">
        <v>1655</v>
      </c>
      <c r="B512" s="264"/>
      <c r="C512" s="264" t="s">
        <v>1656</v>
      </c>
      <c r="D512" s="265" t="s">
        <v>1647</v>
      </c>
      <c r="E512" s="265" t="s">
        <v>783</v>
      </c>
      <c r="F512" s="275">
        <v>19470</v>
      </c>
      <c r="G512" s="275">
        <v>19469</v>
      </c>
      <c r="H512" s="276">
        <v>1</v>
      </c>
    </row>
    <row r="513" spans="1:8" ht="14.1" customHeight="1" x14ac:dyDescent="0.25">
      <c r="A513" s="264" t="s">
        <v>1657</v>
      </c>
      <c r="B513" s="264"/>
      <c r="C513" s="264" t="s">
        <v>1658</v>
      </c>
      <c r="D513" s="265" t="s">
        <v>1647</v>
      </c>
      <c r="E513" s="265" t="s">
        <v>1659</v>
      </c>
      <c r="F513" s="275">
        <v>142846.07999999999</v>
      </c>
      <c r="G513" s="275">
        <v>142845.07999999999</v>
      </c>
      <c r="H513" s="276">
        <v>1</v>
      </c>
    </row>
    <row r="514" spans="1:8" ht="14.1" customHeight="1" x14ac:dyDescent="0.25">
      <c r="A514" s="264" t="s">
        <v>1660</v>
      </c>
      <c r="B514" s="264"/>
      <c r="C514" s="264" t="s">
        <v>1661</v>
      </c>
      <c r="D514" s="265" t="s">
        <v>878</v>
      </c>
      <c r="E514" s="265" t="s">
        <v>1662</v>
      </c>
      <c r="F514" s="275">
        <v>749854.6</v>
      </c>
      <c r="G514" s="275">
        <v>599882.88</v>
      </c>
      <c r="H514" s="275">
        <v>149971.72</v>
      </c>
    </row>
    <row r="515" spans="1:8" ht="14.1" customHeight="1" x14ac:dyDescent="0.25">
      <c r="A515" s="264" t="s">
        <v>1663</v>
      </c>
      <c r="B515" s="264"/>
      <c r="C515" s="264" t="s">
        <v>1664</v>
      </c>
      <c r="D515" s="265" t="s">
        <v>1639</v>
      </c>
      <c r="E515" s="265" t="s">
        <v>1640</v>
      </c>
      <c r="F515" s="275">
        <v>166285.6</v>
      </c>
      <c r="G515" s="275">
        <v>149656.14000000001</v>
      </c>
      <c r="H515" s="275">
        <v>16629.46</v>
      </c>
    </row>
    <row r="516" spans="1:8" ht="14.1" customHeight="1" x14ac:dyDescent="0.25">
      <c r="A516" s="264" t="s">
        <v>1665</v>
      </c>
      <c r="B516" s="264"/>
      <c r="C516" s="264" t="s">
        <v>1666</v>
      </c>
      <c r="D516" s="265" t="s">
        <v>878</v>
      </c>
      <c r="E516" s="265" t="s">
        <v>1667</v>
      </c>
      <c r="F516" s="275">
        <v>742975.2</v>
      </c>
      <c r="G516" s="275">
        <v>557230.65</v>
      </c>
      <c r="H516" s="275">
        <v>185744.55</v>
      </c>
    </row>
    <row r="517" spans="1:8" ht="14.1" customHeight="1" x14ac:dyDescent="0.25">
      <c r="A517" s="264" t="s">
        <v>1668</v>
      </c>
      <c r="B517" s="264"/>
      <c r="C517" s="264" t="s">
        <v>1669</v>
      </c>
      <c r="D517" s="265" t="s">
        <v>1647</v>
      </c>
      <c r="E517" s="265" t="s">
        <v>1670</v>
      </c>
      <c r="F517" s="275">
        <v>12685</v>
      </c>
      <c r="G517" s="275">
        <v>12684</v>
      </c>
      <c r="H517" s="276">
        <v>1</v>
      </c>
    </row>
    <row r="518" spans="1:8" ht="14.1" customHeight="1" x14ac:dyDescent="0.25">
      <c r="A518" s="264" t="s">
        <v>1671</v>
      </c>
      <c r="B518" s="264"/>
      <c r="C518" s="264" t="s">
        <v>1669</v>
      </c>
      <c r="D518" s="265" t="s">
        <v>1647</v>
      </c>
      <c r="E518" s="265" t="s">
        <v>783</v>
      </c>
      <c r="F518" s="275">
        <v>184080</v>
      </c>
      <c r="G518" s="275">
        <v>184079</v>
      </c>
      <c r="H518" s="276">
        <v>1</v>
      </c>
    </row>
    <row r="519" spans="1:8" ht="18.399999999999999" customHeight="1" x14ac:dyDescent="0.25">
      <c r="A519" s="264" t="s">
        <v>1672</v>
      </c>
      <c r="B519" s="264"/>
      <c r="C519" s="264" t="s">
        <v>1673</v>
      </c>
      <c r="D519" s="265" t="s">
        <v>1395</v>
      </c>
      <c r="E519" s="265" t="s">
        <v>1674</v>
      </c>
      <c r="F519" s="275">
        <v>11800</v>
      </c>
      <c r="G519" s="275">
        <v>11799</v>
      </c>
      <c r="H519" s="276">
        <v>1</v>
      </c>
    </row>
  </sheetData>
  <mergeCells count="18">
    <mergeCell ref="A328:E328"/>
    <mergeCell ref="A331:E331"/>
    <mergeCell ref="A346:E346"/>
    <mergeCell ref="A493:E493"/>
    <mergeCell ref="A497:E497"/>
    <mergeCell ref="A505:E505"/>
    <mergeCell ref="A99:E99"/>
    <mergeCell ref="A101:E101"/>
    <mergeCell ref="A112:E112"/>
    <mergeCell ref="A118:E118"/>
    <mergeCell ref="A324:E324"/>
    <mergeCell ref="A326:E326"/>
    <mergeCell ref="A5:E5"/>
    <mergeCell ref="A13:E13"/>
    <mergeCell ref="A22:E22"/>
    <mergeCell ref="A24:E24"/>
    <mergeCell ref="A58:E58"/>
    <mergeCell ref="A61:E6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D8F09-B2FC-4EEB-B5C1-198AECFA6D80}">
  <dimension ref="A1:Q103"/>
  <sheetViews>
    <sheetView showGridLines="0" tabSelected="1" zoomScale="57" zoomScaleNormal="57" workbookViewId="0">
      <selection activeCell="B22" sqref="B22"/>
    </sheetView>
  </sheetViews>
  <sheetFormatPr baseColWidth="10" defaultColWidth="11.42578125" defaultRowHeight="61.5" x14ac:dyDescent="0.85"/>
  <cols>
    <col min="1" max="1" width="11.42578125" style="284"/>
    <col min="2" max="2" width="106.28515625" style="284" customWidth="1"/>
    <col min="3" max="4" width="28.140625" style="284" customWidth="1"/>
    <col min="5" max="17" width="24.42578125" style="284" customWidth="1"/>
    <col min="18" max="16384" width="11.42578125" style="284"/>
  </cols>
  <sheetData>
    <row r="1" spans="1:17" ht="26.25" customHeight="1" x14ac:dyDescent="0.85"/>
    <row r="2" spans="1:17" ht="26.25" customHeight="1" x14ac:dyDescent="0.85">
      <c r="A2" s="285" t="s">
        <v>1675</v>
      </c>
      <c r="B2" s="285"/>
      <c r="C2" s="285"/>
      <c r="D2" s="285"/>
      <c r="E2" s="285"/>
      <c r="F2" s="285"/>
      <c r="G2" s="285"/>
      <c r="H2" s="285"/>
      <c r="I2" s="285"/>
      <c r="J2" s="285"/>
      <c r="K2" s="285"/>
      <c r="L2" s="285"/>
      <c r="M2" s="285"/>
      <c r="N2" s="285"/>
    </row>
    <row r="3" spans="1:17" ht="26.25" customHeight="1" x14ac:dyDescent="0.85">
      <c r="A3" s="285" t="s">
        <v>1676</v>
      </c>
      <c r="B3" s="285"/>
      <c r="C3" s="285"/>
      <c r="D3" s="285"/>
      <c r="E3" s="285"/>
      <c r="F3" s="285"/>
      <c r="G3" s="285"/>
      <c r="H3" s="285"/>
      <c r="I3" s="285"/>
      <c r="J3" s="285"/>
      <c r="K3" s="285"/>
      <c r="L3" s="285"/>
      <c r="M3" s="285"/>
      <c r="N3" s="285"/>
    </row>
    <row r="4" spans="1:17" ht="26.25" customHeight="1" x14ac:dyDescent="0.85">
      <c r="A4" s="285" t="s">
        <v>1677</v>
      </c>
      <c r="B4" s="285"/>
      <c r="C4" s="285"/>
      <c r="D4" s="285"/>
      <c r="E4" s="285"/>
      <c r="F4" s="285"/>
      <c r="G4" s="285"/>
      <c r="H4" s="285"/>
      <c r="I4" s="285"/>
      <c r="J4" s="285"/>
      <c r="K4" s="285"/>
      <c r="L4" s="285"/>
      <c r="M4" s="285"/>
      <c r="N4" s="285"/>
      <c r="O4" s="286"/>
      <c r="P4" s="286"/>
    </row>
    <row r="5" spans="1:17" ht="26.25" customHeight="1" x14ac:dyDescent="0.85">
      <c r="A5" s="285" t="s">
        <v>1678</v>
      </c>
      <c r="B5" s="285"/>
      <c r="C5" s="285"/>
      <c r="D5" s="285"/>
      <c r="E5" s="285"/>
      <c r="F5" s="285"/>
      <c r="G5" s="285"/>
      <c r="H5" s="285"/>
      <c r="I5" s="285"/>
      <c r="J5" s="285"/>
      <c r="K5" s="285"/>
      <c r="L5" s="285"/>
      <c r="M5" s="285"/>
      <c r="N5" s="285"/>
      <c r="O5" s="286"/>
      <c r="P5" s="286"/>
    </row>
    <row r="6" spans="1:17" ht="26.25" customHeight="1" x14ac:dyDescent="0.85">
      <c r="A6" s="285" t="s">
        <v>1679</v>
      </c>
      <c r="B6" s="285"/>
      <c r="C6" s="285"/>
      <c r="D6" s="285"/>
      <c r="E6" s="285"/>
      <c r="F6" s="285"/>
      <c r="G6" s="285"/>
      <c r="H6" s="285"/>
      <c r="I6" s="285"/>
      <c r="J6" s="285"/>
      <c r="K6" s="285"/>
      <c r="L6" s="285"/>
      <c r="M6" s="285"/>
      <c r="N6" s="285"/>
      <c r="O6" s="286"/>
      <c r="P6" s="286"/>
    </row>
    <row r="7" spans="1:17" ht="45" customHeight="1" x14ac:dyDescent="0.85">
      <c r="A7" s="287"/>
      <c r="B7" s="288"/>
      <c r="C7" s="289"/>
      <c r="D7" s="290"/>
      <c r="E7" s="291">
        <f>+E10-4811653.96</f>
        <v>0</v>
      </c>
      <c r="F7" s="290">
        <f>5120198.43-F10</f>
        <v>0</v>
      </c>
      <c r="G7" s="288"/>
      <c r="H7" s="290">
        <f>+H10-9031019.56</f>
        <v>0</v>
      </c>
      <c r="I7" s="290">
        <f>+I10-14484104.47</f>
        <v>0</v>
      </c>
      <c r="J7" s="290">
        <f>+J10-14664174.03</f>
        <v>0</v>
      </c>
      <c r="K7" s="290">
        <f>+K10-24806784.92</f>
        <v>0</v>
      </c>
      <c r="L7" s="290">
        <f>+L10-61404704.09</f>
        <v>0</v>
      </c>
      <c r="M7" s="290">
        <f>+M10-5567746.23</f>
        <v>0</v>
      </c>
      <c r="N7" s="290">
        <f>+N10-39855258.91</f>
        <v>0</v>
      </c>
      <c r="O7" s="290">
        <f>+O10-25981188.46</f>
        <v>0</v>
      </c>
      <c r="P7" s="290">
        <f>+P10-16881613.69</f>
        <v>0</v>
      </c>
      <c r="Q7" s="292"/>
    </row>
    <row r="8" spans="1:17" s="299" customFormat="1" ht="53.45" customHeight="1" x14ac:dyDescent="0.8">
      <c r="A8" s="293"/>
      <c r="B8" s="294" t="s">
        <v>1680</v>
      </c>
      <c r="C8" s="294" t="s">
        <v>1681</v>
      </c>
      <c r="D8" s="295" t="s">
        <v>1682</v>
      </c>
      <c r="E8" s="296" t="s">
        <v>1683</v>
      </c>
      <c r="F8" s="297"/>
      <c r="G8" s="297"/>
      <c r="H8" s="297"/>
      <c r="I8" s="297"/>
      <c r="J8" s="297"/>
      <c r="K8" s="297"/>
      <c r="L8" s="297"/>
      <c r="M8" s="297"/>
      <c r="N8" s="297"/>
      <c r="O8" s="297"/>
      <c r="P8" s="297"/>
      <c r="Q8" s="298"/>
    </row>
    <row r="9" spans="1:17" s="299" customFormat="1" ht="60.75" x14ac:dyDescent="0.8">
      <c r="A9" s="293"/>
      <c r="B9" s="294"/>
      <c r="C9" s="294"/>
      <c r="D9" s="300"/>
      <c r="E9" s="301" t="s">
        <v>1684</v>
      </c>
      <c r="F9" s="301" t="s">
        <v>1685</v>
      </c>
      <c r="G9" s="301" t="s">
        <v>1686</v>
      </c>
      <c r="H9" s="301" t="s">
        <v>1687</v>
      </c>
      <c r="I9" s="301" t="s">
        <v>1688</v>
      </c>
      <c r="J9" s="301" t="s">
        <v>1689</v>
      </c>
      <c r="K9" s="301" t="s">
        <v>1690</v>
      </c>
      <c r="L9" s="301" t="s">
        <v>1691</v>
      </c>
      <c r="M9" s="301" t="s">
        <v>1692</v>
      </c>
      <c r="N9" s="301" t="s">
        <v>1693</v>
      </c>
      <c r="O9" s="301" t="s">
        <v>1694</v>
      </c>
      <c r="P9" s="301" t="s">
        <v>1695</v>
      </c>
      <c r="Q9" s="301" t="s">
        <v>1696</v>
      </c>
    </row>
    <row r="10" spans="1:17" ht="26.25" customHeight="1" x14ac:dyDescent="0.85">
      <c r="A10" s="302"/>
      <c r="B10" s="303" t="s">
        <v>1697</v>
      </c>
      <c r="C10" s="303">
        <f>+C11+C17+C27+C37+C52</f>
        <v>70594062</v>
      </c>
      <c r="D10" s="304">
        <f>+D11+D17+D27+D37+D52</f>
        <v>416583047.97000003</v>
      </c>
      <c r="E10" s="304">
        <f>E11+E17+E27+E37</f>
        <v>4811653.96</v>
      </c>
      <c r="F10" s="304">
        <f>F11+F17+F27+F37+F45+F77</f>
        <v>5120198.4300000006</v>
      </c>
      <c r="G10" s="304">
        <f t="shared" ref="G10:O10" si="0">G11+G17+G27+G37+G45+G77+G52</f>
        <v>42317077.420000009</v>
      </c>
      <c r="H10" s="304">
        <f t="shared" si="0"/>
        <v>9031019.5600000005</v>
      </c>
      <c r="I10" s="304">
        <f t="shared" si="0"/>
        <v>14484104.470000001</v>
      </c>
      <c r="J10" s="304">
        <f t="shared" si="0"/>
        <v>14664174.029999999</v>
      </c>
      <c r="K10" s="304">
        <f t="shared" si="0"/>
        <v>24806784.920000002</v>
      </c>
      <c r="L10" s="304">
        <f t="shared" si="0"/>
        <v>61404704.090000004</v>
      </c>
      <c r="M10" s="304">
        <f t="shared" si="0"/>
        <v>5567746.2300000004</v>
      </c>
      <c r="N10" s="304">
        <f t="shared" si="0"/>
        <v>39855258.910000004</v>
      </c>
      <c r="O10" s="304">
        <f t="shared" si="0"/>
        <v>25981188.459999997</v>
      </c>
      <c r="P10" s="303">
        <f>P11+P17+P27+P37+P45+P52</f>
        <v>16881613.690000001</v>
      </c>
      <c r="Q10" s="303">
        <f>SUM(E10:P10)</f>
        <v>264925524.17000002</v>
      </c>
    </row>
    <row r="11" spans="1:17" ht="26.25" customHeight="1" x14ac:dyDescent="0.85">
      <c r="A11" s="305"/>
      <c r="B11" s="306" t="s">
        <v>1698</v>
      </c>
      <c r="C11" s="306">
        <f>+C12+C13+C16+C15+C14</f>
        <v>58870248</v>
      </c>
      <c r="D11" s="307">
        <f>+D12+D13+D16+D15+D14</f>
        <v>72059080.799999997</v>
      </c>
      <c r="E11" s="307">
        <f>+E12+E16+E13+E14+E15</f>
        <v>4384728.76</v>
      </c>
      <c r="F11" s="307">
        <f t="shared" ref="F11:P11" si="1">+F12+F16+F13+F14+F15</f>
        <v>4456680.9400000004</v>
      </c>
      <c r="G11" s="307">
        <f t="shared" si="1"/>
        <v>4927995.2</v>
      </c>
      <c r="H11" s="307">
        <f t="shared" si="1"/>
        <v>8128923.1399999997</v>
      </c>
      <c r="I11" s="307">
        <f t="shared" si="1"/>
        <v>4744528.67</v>
      </c>
      <c r="J11" s="307">
        <f t="shared" si="1"/>
        <v>4808934.24</v>
      </c>
      <c r="K11" s="307">
        <f t="shared" si="1"/>
        <v>4637017.57</v>
      </c>
      <c r="L11" s="307">
        <f t="shared" si="1"/>
        <v>4539095.78</v>
      </c>
      <c r="M11" s="307">
        <f t="shared" si="1"/>
        <v>4608299.78</v>
      </c>
      <c r="N11" s="307">
        <f t="shared" si="1"/>
        <v>8408299.7800000012</v>
      </c>
      <c r="O11" s="307">
        <f t="shared" si="1"/>
        <v>8536434.0999999996</v>
      </c>
      <c r="P11" s="307">
        <f t="shared" si="1"/>
        <v>8452266.7800000012</v>
      </c>
      <c r="Q11" s="307">
        <f>SUM(E11:P11)</f>
        <v>70633204.74000001</v>
      </c>
    </row>
    <row r="12" spans="1:17" ht="26.25" customHeight="1" x14ac:dyDescent="0.85">
      <c r="A12" s="308"/>
      <c r="B12" s="309" t="s">
        <v>1699</v>
      </c>
      <c r="C12" s="309">
        <v>51550423</v>
      </c>
      <c r="D12" s="309">
        <v>53265423</v>
      </c>
      <c r="E12" s="309">
        <v>3800000</v>
      </c>
      <c r="F12" s="309">
        <v>3862333.33</v>
      </c>
      <c r="G12" s="309">
        <v>4279605.45</v>
      </c>
      <c r="H12" s="309">
        <v>3921000</v>
      </c>
      <c r="I12" s="309">
        <v>4109000</v>
      </c>
      <c r="J12" s="309">
        <v>4015000</v>
      </c>
      <c r="K12" s="309">
        <v>4015000</v>
      </c>
      <c r="L12" s="309">
        <v>3930000</v>
      </c>
      <c r="M12" s="309">
        <v>3990000</v>
      </c>
      <c r="N12" s="309">
        <v>3990000</v>
      </c>
      <c r="O12" s="309">
        <v>7866249.9900000002</v>
      </c>
      <c r="P12" s="310">
        <v>4005000</v>
      </c>
      <c r="Q12" s="310">
        <f>SUM(E12:P12)</f>
        <v>51783188.770000003</v>
      </c>
    </row>
    <row r="13" spans="1:17" ht="26.25" customHeight="1" x14ac:dyDescent="0.85">
      <c r="A13" s="308"/>
      <c r="B13" s="309" t="s">
        <v>1700</v>
      </c>
      <c r="C13" s="309">
        <v>264000</v>
      </c>
      <c r="D13" s="309">
        <v>11507732.800000001</v>
      </c>
      <c r="E13" s="309">
        <v>22000</v>
      </c>
      <c r="F13" s="309">
        <v>22000</v>
      </c>
      <c r="G13" s="309">
        <v>22000</v>
      </c>
      <c r="H13" s="309">
        <v>3621416.67</v>
      </c>
      <c r="I13" s="309">
        <v>22000</v>
      </c>
      <c r="J13" s="309">
        <v>193916.67</v>
      </c>
      <c r="K13" s="309">
        <v>22000</v>
      </c>
      <c r="L13" s="309">
        <v>22000</v>
      </c>
      <c r="M13" s="309">
        <v>22000</v>
      </c>
      <c r="N13" s="309">
        <v>3822000</v>
      </c>
      <c r="O13" s="309">
        <v>71583.33</v>
      </c>
      <c r="P13" s="310">
        <v>3848666</v>
      </c>
      <c r="Q13" s="310">
        <f t="shared" ref="Q13:Q15" si="2">SUM(E13:P13)</f>
        <v>11711582.67</v>
      </c>
    </row>
    <row r="14" spans="1:17" ht="26.25" customHeight="1" x14ac:dyDescent="0.85">
      <c r="A14" s="308"/>
      <c r="B14" s="309" t="s">
        <v>1701</v>
      </c>
      <c r="C14" s="309">
        <v>0</v>
      </c>
      <c r="D14" s="309">
        <v>0</v>
      </c>
      <c r="E14" s="309">
        <v>0</v>
      </c>
      <c r="F14" s="309">
        <v>0</v>
      </c>
      <c r="G14" s="309">
        <v>0</v>
      </c>
      <c r="H14" s="309">
        <v>0</v>
      </c>
      <c r="I14" s="309">
        <v>0</v>
      </c>
      <c r="J14" s="309">
        <v>0</v>
      </c>
      <c r="K14" s="309">
        <v>0</v>
      </c>
      <c r="L14" s="309">
        <v>0</v>
      </c>
      <c r="M14" s="309">
        <v>0</v>
      </c>
      <c r="N14" s="309">
        <v>0</v>
      </c>
      <c r="O14" s="309">
        <v>0</v>
      </c>
      <c r="P14" s="310">
        <v>0</v>
      </c>
      <c r="Q14" s="310">
        <f t="shared" si="2"/>
        <v>0</v>
      </c>
    </row>
    <row r="15" spans="1:17" ht="26.25" customHeight="1" x14ac:dyDescent="0.85">
      <c r="A15" s="308"/>
      <c r="B15" s="309" t="s">
        <v>1702</v>
      </c>
      <c r="C15" s="309">
        <v>45000</v>
      </c>
      <c r="D15" s="309">
        <v>45000</v>
      </c>
      <c r="E15" s="309">
        <v>0</v>
      </c>
      <c r="F15" s="309">
        <v>0</v>
      </c>
      <c r="G15" s="309">
        <v>0</v>
      </c>
      <c r="H15" s="309">
        <v>0</v>
      </c>
      <c r="I15" s="309">
        <v>0</v>
      </c>
      <c r="J15" s="309">
        <v>0</v>
      </c>
      <c r="K15" s="309">
        <v>0</v>
      </c>
      <c r="L15" s="309">
        <v>0</v>
      </c>
      <c r="M15" s="309">
        <v>0</v>
      </c>
      <c r="N15" s="309">
        <v>0</v>
      </c>
      <c r="O15" s="309">
        <v>0</v>
      </c>
      <c r="P15" s="310">
        <v>0</v>
      </c>
      <c r="Q15" s="310">
        <f t="shared" si="2"/>
        <v>0</v>
      </c>
    </row>
    <row r="16" spans="1:17" ht="26.25" customHeight="1" x14ac:dyDescent="0.85">
      <c r="A16" s="308"/>
      <c r="B16" s="309" t="s">
        <v>1703</v>
      </c>
      <c r="C16" s="309">
        <v>7010825</v>
      </c>
      <c r="D16" s="309">
        <v>7240925</v>
      </c>
      <c r="E16" s="309">
        <v>562728.76</v>
      </c>
      <c r="F16" s="309">
        <v>572347.61</v>
      </c>
      <c r="G16" s="309">
        <v>626389.75</v>
      </c>
      <c r="H16" s="309">
        <v>586506.47</v>
      </c>
      <c r="I16" s="309">
        <v>613528.67000000004</v>
      </c>
      <c r="J16" s="309">
        <v>600017.56999999995</v>
      </c>
      <c r="K16" s="309">
        <v>600017.56999999995</v>
      </c>
      <c r="L16" s="309">
        <v>587095.78</v>
      </c>
      <c r="M16" s="309">
        <v>596299.78</v>
      </c>
      <c r="N16" s="309">
        <v>596299.78</v>
      </c>
      <c r="O16" s="309">
        <v>598600.78</v>
      </c>
      <c r="P16" s="310">
        <v>598600.78</v>
      </c>
      <c r="Q16" s="310">
        <f>SUM(E16:P16)</f>
        <v>7138433.3000000007</v>
      </c>
    </row>
    <row r="17" spans="1:17" ht="26.25" customHeight="1" x14ac:dyDescent="0.85">
      <c r="A17" s="305"/>
      <c r="B17" s="306" t="s">
        <v>1704</v>
      </c>
      <c r="C17" s="306">
        <f>C18+C19+C20+C21+C22+C23+C24+C25+C26</f>
        <v>8459492</v>
      </c>
      <c r="D17" s="307">
        <f>D18+D19+D20+D21+D22+D23+D24+D25+D26</f>
        <v>333878645.17000002</v>
      </c>
      <c r="E17" s="307">
        <f>SUM(E18:E26)</f>
        <v>426925.19999999995</v>
      </c>
      <c r="F17" s="307">
        <f>SUM(F18:F26)</f>
        <v>651437.49</v>
      </c>
      <c r="G17" s="307">
        <f>SUM(G18:G26)</f>
        <v>36173397.740000002</v>
      </c>
      <c r="H17" s="307">
        <f>+H18+H20+H22+H23+H24+H19+H21+H25+H26</f>
        <v>793502.13000000012</v>
      </c>
      <c r="I17" s="307">
        <f>+I18+I20+I22+I23+I24+I19+I21+I25+I26</f>
        <v>9698576.540000001</v>
      </c>
      <c r="J17" s="307">
        <f>+J18+J20+J22+J23+J24+J19+J21+J25+J26</f>
        <v>9622478.6899999995</v>
      </c>
      <c r="K17" s="307">
        <f>SUM(K18:K26)</f>
        <v>18473548.59</v>
      </c>
      <c r="L17" s="307">
        <f>SUM(L18:L26)</f>
        <v>54272646.650000006</v>
      </c>
      <c r="M17" s="307">
        <f t="shared" ref="M17:P17" si="3">SUM(M18:M26)</f>
        <v>556874.53</v>
      </c>
      <c r="N17" s="307">
        <f t="shared" si="3"/>
        <v>31440239.140000001</v>
      </c>
      <c r="O17" s="307">
        <f t="shared" si="3"/>
        <v>16463531.16</v>
      </c>
      <c r="P17" s="307">
        <f t="shared" si="3"/>
        <v>8205772.2599999998</v>
      </c>
      <c r="Q17" s="307">
        <f>SUM(E17:P17)</f>
        <v>186778930.11999997</v>
      </c>
    </row>
    <row r="18" spans="1:17" ht="26.25" customHeight="1" x14ac:dyDescent="0.85">
      <c r="A18" s="308"/>
      <c r="B18" s="309" t="s">
        <v>1705</v>
      </c>
      <c r="C18" s="309">
        <v>1530000</v>
      </c>
      <c r="D18" s="309">
        <v>1530000</v>
      </c>
      <c r="E18" s="309">
        <v>110881</v>
      </c>
      <c r="F18" s="309">
        <v>125804.05</v>
      </c>
      <c r="G18" s="309">
        <v>112529.60000000001</v>
      </c>
      <c r="H18" s="309">
        <v>124658.66</v>
      </c>
      <c r="I18" s="309">
        <v>117081.46</v>
      </c>
      <c r="J18" s="309">
        <v>131389.14000000001</v>
      </c>
      <c r="K18" s="309">
        <v>127951.85</v>
      </c>
      <c r="L18" s="309">
        <v>145579.92000000001</v>
      </c>
      <c r="M18" s="309">
        <v>132687.20000000001</v>
      </c>
      <c r="N18" s="309">
        <v>148248.26</v>
      </c>
      <c r="O18" s="309">
        <v>132755.62</v>
      </c>
      <c r="P18" s="310">
        <v>123767.91</v>
      </c>
      <c r="Q18" s="310">
        <f t="shared" ref="Q18:Q44" si="4">SUM(E18:P18)</f>
        <v>1533334.6700000002</v>
      </c>
    </row>
    <row r="19" spans="1:17" ht="26.25" customHeight="1" x14ac:dyDescent="0.85">
      <c r="A19" s="308"/>
      <c r="B19" s="309" t="s">
        <v>1706</v>
      </c>
      <c r="C19" s="309">
        <v>150000</v>
      </c>
      <c r="D19" s="309">
        <v>150000</v>
      </c>
      <c r="E19" s="309">
        <v>0</v>
      </c>
      <c r="F19" s="309">
        <v>0</v>
      </c>
      <c r="G19" s="309">
        <v>0</v>
      </c>
      <c r="H19" s="309">
        <v>0</v>
      </c>
      <c r="I19" s="309">
        <v>0</v>
      </c>
      <c r="J19" s="309">
        <v>44686.6</v>
      </c>
      <c r="K19" s="309">
        <v>0</v>
      </c>
      <c r="L19" s="309">
        <v>0</v>
      </c>
      <c r="M19" s="309">
        <v>0</v>
      </c>
      <c r="N19" s="309">
        <v>0</v>
      </c>
      <c r="O19" s="309">
        <v>0</v>
      </c>
      <c r="P19" s="310">
        <v>0</v>
      </c>
      <c r="Q19" s="310">
        <f t="shared" si="4"/>
        <v>44686.6</v>
      </c>
    </row>
    <row r="20" spans="1:17" ht="26.25" customHeight="1" x14ac:dyDescent="0.85">
      <c r="A20" s="308"/>
      <c r="B20" s="309" t="s">
        <v>1707</v>
      </c>
      <c r="C20" s="309">
        <v>748400</v>
      </c>
      <c r="D20" s="309">
        <v>2248400</v>
      </c>
      <c r="E20" s="309">
        <v>7600</v>
      </c>
      <c r="F20" s="309">
        <v>21350</v>
      </c>
      <c r="G20" s="309">
        <v>22350</v>
      </c>
      <c r="H20" s="309">
        <v>22100</v>
      </c>
      <c r="I20" s="309">
        <v>27000</v>
      </c>
      <c r="J20" s="309">
        <v>92350</v>
      </c>
      <c r="K20" s="309">
        <v>5800</v>
      </c>
      <c r="L20" s="309">
        <v>68500</v>
      </c>
      <c r="M20" s="309">
        <v>0</v>
      </c>
      <c r="N20" s="309">
        <v>57500</v>
      </c>
      <c r="O20" s="309">
        <v>9500</v>
      </c>
      <c r="P20" s="310">
        <v>0</v>
      </c>
      <c r="Q20" s="310">
        <f t="shared" si="4"/>
        <v>334050</v>
      </c>
    </row>
    <row r="21" spans="1:17" ht="26.25" customHeight="1" x14ac:dyDescent="0.85">
      <c r="A21" s="308"/>
      <c r="B21" s="309" t="s">
        <v>1708</v>
      </c>
      <c r="C21" s="309">
        <v>250000</v>
      </c>
      <c r="D21" s="309">
        <v>250000</v>
      </c>
      <c r="E21" s="309">
        <v>0</v>
      </c>
      <c r="F21" s="309">
        <v>0</v>
      </c>
      <c r="G21" s="309">
        <v>0</v>
      </c>
      <c r="H21" s="309">
        <v>0</v>
      </c>
      <c r="I21" s="309">
        <v>0</v>
      </c>
      <c r="J21" s="309">
        <v>0</v>
      </c>
      <c r="K21" s="309">
        <v>0</v>
      </c>
      <c r="L21" s="309">
        <v>0</v>
      </c>
      <c r="M21" s="309">
        <v>0</v>
      </c>
      <c r="N21" s="309">
        <v>0</v>
      </c>
      <c r="O21" s="309">
        <v>0</v>
      </c>
      <c r="P21" s="310">
        <v>0</v>
      </c>
      <c r="Q21" s="310">
        <f t="shared" si="4"/>
        <v>0</v>
      </c>
    </row>
    <row r="22" spans="1:17" ht="26.25" customHeight="1" x14ac:dyDescent="0.85">
      <c r="A22" s="308"/>
      <c r="B22" s="309" t="s">
        <v>1709</v>
      </c>
      <c r="C22" s="309">
        <v>2779874</v>
      </c>
      <c r="D22" s="309">
        <v>2979874</v>
      </c>
      <c r="E22" s="309">
        <v>180721.47</v>
      </c>
      <c r="F22" s="309">
        <v>209054.81</v>
      </c>
      <c r="G22" s="309">
        <v>194888.14</v>
      </c>
      <c r="H22" s="309">
        <v>194888.14</v>
      </c>
      <c r="I22" s="309">
        <v>194888.14</v>
      </c>
      <c r="J22" s="309">
        <v>203924.22</v>
      </c>
      <c r="K22" s="309">
        <v>203924.22</v>
      </c>
      <c r="L22" s="309">
        <v>203924.22</v>
      </c>
      <c r="M22" s="309">
        <v>203924.21</v>
      </c>
      <c r="N22" s="309">
        <v>210932.31</v>
      </c>
      <c r="O22" s="309">
        <v>521881.66</v>
      </c>
      <c r="P22" s="310">
        <v>203924.16</v>
      </c>
      <c r="Q22" s="310">
        <f t="shared" si="4"/>
        <v>2726875.7</v>
      </c>
    </row>
    <row r="23" spans="1:17" ht="26.25" customHeight="1" x14ac:dyDescent="0.85">
      <c r="A23" s="308"/>
      <c r="B23" s="309" t="s">
        <v>1710</v>
      </c>
      <c r="C23" s="309">
        <v>1745518</v>
      </c>
      <c r="D23" s="309">
        <v>1745518</v>
      </c>
      <c r="E23" s="309">
        <v>121222.73</v>
      </c>
      <c r="F23" s="309">
        <v>121222.73</v>
      </c>
      <c r="G23" s="309">
        <v>117751.35</v>
      </c>
      <c r="H23" s="309">
        <v>116376.07</v>
      </c>
      <c r="I23" s="309">
        <v>397757.3</v>
      </c>
      <c r="J23" s="309">
        <v>117751.35</v>
      </c>
      <c r="K23" s="309">
        <v>119847.45</v>
      </c>
      <c r="L23" s="309">
        <v>217719.82</v>
      </c>
      <c r="M23" s="309">
        <v>129922.32</v>
      </c>
      <c r="N23" s="309">
        <v>125348.57</v>
      </c>
      <c r="O23" s="309">
        <v>126723.85</v>
      </c>
      <c r="P23" s="310">
        <v>125348.57</v>
      </c>
      <c r="Q23" s="310">
        <f t="shared" si="4"/>
        <v>1836992.1100000003</v>
      </c>
    </row>
    <row r="24" spans="1:17" ht="26.25" customHeight="1" x14ac:dyDescent="0.85">
      <c r="A24" s="308"/>
      <c r="B24" s="311" t="s">
        <v>1711</v>
      </c>
      <c r="C24" s="311">
        <v>710000</v>
      </c>
      <c r="D24" s="309">
        <v>955000</v>
      </c>
      <c r="E24" s="309">
        <v>0</v>
      </c>
      <c r="F24" s="309">
        <v>174005.9</v>
      </c>
      <c r="G24" s="309">
        <v>17352.09</v>
      </c>
      <c r="H24" s="309">
        <v>276069.26</v>
      </c>
      <c r="I24" s="309">
        <v>0</v>
      </c>
      <c r="J24" s="309">
        <v>34986.14</v>
      </c>
      <c r="K24" s="309">
        <v>67035.8</v>
      </c>
      <c r="L24" s="309">
        <v>35013.78</v>
      </c>
      <c r="M24" s="309">
        <v>79130.8</v>
      </c>
      <c r="N24" s="309">
        <v>0</v>
      </c>
      <c r="O24" s="309">
        <v>127764.13</v>
      </c>
      <c r="P24" s="310">
        <v>21521.62</v>
      </c>
      <c r="Q24" s="310">
        <f t="shared" si="4"/>
        <v>832879.52000000014</v>
      </c>
    </row>
    <row r="25" spans="1:17" ht="26.25" customHeight="1" x14ac:dyDescent="0.85">
      <c r="A25" s="308"/>
      <c r="B25" s="309" t="s">
        <v>1712</v>
      </c>
      <c r="C25" s="309">
        <v>410000</v>
      </c>
      <c r="D25" s="309">
        <v>322734153.17000002</v>
      </c>
      <c r="E25" s="309">
        <v>6500</v>
      </c>
      <c r="F25" s="309">
        <v>0</v>
      </c>
      <c r="G25" s="309">
        <v>35708526.560000002</v>
      </c>
      <c r="H25" s="309">
        <v>59410</v>
      </c>
      <c r="I25" s="309">
        <v>8937541.6400000006</v>
      </c>
      <c r="J25" s="309">
        <v>8934591.6400000006</v>
      </c>
      <c r="K25" s="309">
        <v>17889517.27</v>
      </c>
      <c r="L25" s="309">
        <v>53563889.780000001</v>
      </c>
      <c r="M25" s="309">
        <v>11210</v>
      </c>
      <c r="N25" s="309">
        <v>30898210</v>
      </c>
      <c r="O25" s="309">
        <v>15533100</v>
      </c>
      <c r="P25" s="310">
        <v>7731210</v>
      </c>
      <c r="Q25" s="310">
        <f t="shared" si="4"/>
        <v>179273706.88999999</v>
      </c>
    </row>
    <row r="26" spans="1:17" ht="26.25" customHeight="1" x14ac:dyDescent="0.85">
      <c r="A26" s="308"/>
      <c r="B26" s="309" t="s">
        <v>1713</v>
      </c>
      <c r="C26" s="309">
        <v>135700</v>
      </c>
      <c r="D26" s="309">
        <v>1285700</v>
      </c>
      <c r="E26" s="309">
        <v>0</v>
      </c>
      <c r="F26" s="309">
        <v>0</v>
      </c>
      <c r="G26" s="309">
        <v>0</v>
      </c>
      <c r="H26" s="309">
        <v>0</v>
      </c>
      <c r="I26" s="309">
        <v>24308</v>
      </c>
      <c r="J26" s="309">
        <v>62799.6</v>
      </c>
      <c r="K26" s="309">
        <v>59472</v>
      </c>
      <c r="L26" s="309">
        <v>38019.129999999997</v>
      </c>
      <c r="M26" s="309">
        <v>0</v>
      </c>
      <c r="N26" s="309">
        <v>0</v>
      </c>
      <c r="O26" s="309">
        <v>11805.9</v>
      </c>
      <c r="P26" s="310">
        <v>0</v>
      </c>
      <c r="Q26" s="310">
        <f t="shared" si="4"/>
        <v>196404.63</v>
      </c>
    </row>
    <row r="27" spans="1:17" ht="26.25" customHeight="1" x14ac:dyDescent="0.85">
      <c r="A27" s="305"/>
      <c r="B27" s="312" t="s">
        <v>1714</v>
      </c>
      <c r="C27" s="312">
        <f>C28+C29+C30+C31+C32+C33+C34+C35+C36</f>
        <v>2434912</v>
      </c>
      <c r="D27" s="312">
        <f>D28+D29+D30+D31+D32+D33+D34+D35+D36</f>
        <v>4305912</v>
      </c>
      <c r="E27" s="312">
        <f t="shared" ref="E27:F27" si="5">+E28+E29+E30+E31+E32+E33+E34+E36</f>
        <v>0</v>
      </c>
      <c r="F27" s="312">
        <f t="shared" si="5"/>
        <v>12080</v>
      </c>
      <c r="G27" s="312">
        <f>+G28+G29+G30+G31+G32+G33+G34+G36</f>
        <v>1119142.1700000002</v>
      </c>
      <c r="H27" s="312">
        <f>+H28+H29+H30+H31+H32+H33+H34+H36+K4</f>
        <v>82652.299999999988</v>
      </c>
      <c r="I27" s="312">
        <f>+I28+I29+I30+I31+I32+I33+I34+I36+L4</f>
        <v>31362.91</v>
      </c>
      <c r="J27" s="312">
        <f t="shared" ref="J27:K27" si="6">+J28+J29+J30+J31+J32+J33+J34+J36+M4</f>
        <v>22674.07</v>
      </c>
      <c r="K27" s="312">
        <f t="shared" si="6"/>
        <v>200685.16</v>
      </c>
      <c r="L27" s="312">
        <f>L28+L36+L29+L31+L30+L32+L33+L34+L35</f>
        <v>52561.65</v>
      </c>
      <c r="M27" s="312">
        <f>M28+M36+M29+M31+M30+M32+M33+M34+M35</f>
        <v>93307.58</v>
      </c>
      <c r="N27" s="312">
        <f>N28+N36+N29+N31+N30+N32+N33+N34+N35</f>
        <v>0</v>
      </c>
      <c r="O27" s="312">
        <f t="shared" ref="O27:P27" si="7">O28+O36+O29+O31+O30+O32+O33+O34+O35</f>
        <v>981223.2</v>
      </c>
      <c r="P27" s="313">
        <f t="shared" si="7"/>
        <v>223574.65</v>
      </c>
      <c r="Q27" s="313">
        <f>SUM(E27:P27)</f>
        <v>2819263.69</v>
      </c>
    </row>
    <row r="28" spans="1:17" ht="26.25" customHeight="1" x14ac:dyDescent="0.85">
      <c r="A28" s="308"/>
      <c r="B28" s="309" t="s">
        <v>1715</v>
      </c>
      <c r="C28" s="309">
        <v>187000</v>
      </c>
      <c r="D28" s="309">
        <v>187000</v>
      </c>
      <c r="E28" s="309">
        <v>0</v>
      </c>
      <c r="F28" s="309">
        <v>5000</v>
      </c>
      <c r="G28" s="309">
        <v>60102.07</v>
      </c>
      <c r="H28" s="309">
        <v>2500</v>
      </c>
      <c r="I28" s="309">
        <v>2500</v>
      </c>
      <c r="J28" s="309">
        <v>2500</v>
      </c>
      <c r="K28" s="309">
        <v>26970.52</v>
      </c>
      <c r="L28" s="309">
        <v>2500</v>
      </c>
      <c r="M28" s="309">
        <v>43918.5</v>
      </c>
      <c r="N28" s="309">
        <v>0</v>
      </c>
      <c r="O28" s="309">
        <v>6300</v>
      </c>
      <c r="P28" s="310">
        <v>0</v>
      </c>
      <c r="Q28" s="310">
        <f t="shared" si="4"/>
        <v>152291.09000000003</v>
      </c>
    </row>
    <row r="29" spans="1:17" ht="26.25" customHeight="1" x14ac:dyDescent="0.85">
      <c r="A29" s="308"/>
      <c r="B29" s="309" t="s">
        <v>1716</v>
      </c>
      <c r="C29" s="309">
        <v>100000</v>
      </c>
      <c r="D29" s="309">
        <v>100000</v>
      </c>
      <c r="E29" s="309">
        <v>0</v>
      </c>
      <c r="F29" s="309">
        <v>0</v>
      </c>
      <c r="G29" s="309">
        <v>0</v>
      </c>
      <c r="H29" s="309">
        <v>0</v>
      </c>
      <c r="I29" s="309">
        <v>0</v>
      </c>
      <c r="J29" s="309">
        <v>0</v>
      </c>
      <c r="K29" s="309">
        <v>0</v>
      </c>
      <c r="L29" s="309">
        <v>0</v>
      </c>
      <c r="M29" s="309">
        <v>0</v>
      </c>
      <c r="N29" s="309">
        <v>0</v>
      </c>
      <c r="O29" s="309">
        <v>121752.4</v>
      </c>
      <c r="P29" s="310">
        <v>0</v>
      </c>
      <c r="Q29" s="310">
        <f t="shared" si="4"/>
        <v>121752.4</v>
      </c>
    </row>
    <row r="30" spans="1:17" ht="26.25" customHeight="1" x14ac:dyDescent="0.85">
      <c r="A30" s="308"/>
      <c r="B30" s="309" t="s">
        <v>1717</v>
      </c>
      <c r="C30" s="309">
        <v>92912</v>
      </c>
      <c r="D30" s="309">
        <v>142912</v>
      </c>
      <c r="E30" s="309">
        <v>0</v>
      </c>
      <c r="F30" s="309">
        <v>0</v>
      </c>
      <c r="G30" s="309">
        <v>0</v>
      </c>
      <c r="H30" s="309">
        <v>29641.599999999999</v>
      </c>
      <c r="I30" s="309">
        <v>0</v>
      </c>
      <c r="J30" s="309">
        <v>6018</v>
      </c>
      <c r="K30" s="309">
        <v>96161.15</v>
      </c>
      <c r="L30" s="309">
        <v>0</v>
      </c>
      <c r="M30" s="309">
        <v>0</v>
      </c>
      <c r="N30" s="309">
        <v>0</v>
      </c>
      <c r="O30" s="309">
        <v>0</v>
      </c>
      <c r="P30" s="310">
        <v>76959.600000000006</v>
      </c>
      <c r="Q30" s="310">
        <f t="shared" si="4"/>
        <v>208780.35</v>
      </c>
    </row>
    <row r="31" spans="1:17" ht="26.25" customHeight="1" x14ac:dyDescent="0.85">
      <c r="A31" s="308"/>
      <c r="B31" s="309" t="s">
        <v>1718</v>
      </c>
      <c r="C31" s="309">
        <v>0</v>
      </c>
      <c r="D31" s="309">
        <v>0</v>
      </c>
      <c r="E31" s="309">
        <v>0</v>
      </c>
      <c r="F31" s="309">
        <v>0</v>
      </c>
      <c r="G31" s="309">
        <v>0</v>
      </c>
      <c r="H31" s="309">
        <v>0</v>
      </c>
      <c r="I31" s="309">
        <v>0</v>
      </c>
      <c r="J31" s="309">
        <v>0</v>
      </c>
      <c r="K31" s="309">
        <v>0</v>
      </c>
      <c r="L31" s="309">
        <v>0</v>
      </c>
      <c r="M31" s="309">
        <v>0</v>
      </c>
      <c r="N31" s="309">
        <v>0</v>
      </c>
      <c r="O31" s="309">
        <v>0</v>
      </c>
      <c r="P31" s="310">
        <v>0</v>
      </c>
      <c r="Q31" s="310">
        <f t="shared" si="4"/>
        <v>0</v>
      </c>
    </row>
    <row r="32" spans="1:17" ht="26.25" customHeight="1" x14ac:dyDescent="0.85">
      <c r="A32" s="308"/>
      <c r="B32" s="309" t="s">
        <v>1719</v>
      </c>
      <c r="C32" s="309">
        <v>0</v>
      </c>
      <c r="D32" s="309">
        <v>0</v>
      </c>
      <c r="E32" s="309">
        <v>0</v>
      </c>
      <c r="F32" s="309">
        <v>0</v>
      </c>
      <c r="G32" s="309">
        <v>0</v>
      </c>
      <c r="H32" s="309">
        <v>0</v>
      </c>
      <c r="I32" s="309">
        <v>0</v>
      </c>
      <c r="J32" s="309">
        <v>0</v>
      </c>
      <c r="K32" s="309">
        <v>0</v>
      </c>
      <c r="L32" s="309">
        <v>0</v>
      </c>
      <c r="M32" s="309">
        <v>0</v>
      </c>
      <c r="N32" s="309">
        <v>0</v>
      </c>
      <c r="O32" s="309">
        <v>0</v>
      </c>
      <c r="P32" s="310">
        <v>0</v>
      </c>
      <c r="Q32" s="310">
        <f t="shared" si="4"/>
        <v>0</v>
      </c>
    </row>
    <row r="33" spans="1:17" ht="26.25" customHeight="1" x14ac:dyDescent="0.85">
      <c r="A33" s="308"/>
      <c r="B33" s="309" t="s">
        <v>1720</v>
      </c>
      <c r="C33" s="309">
        <v>0</v>
      </c>
      <c r="D33" s="309">
        <v>36000</v>
      </c>
      <c r="E33" s="309">
        <v>0</v>
      </c>
      <c r="F33" s="309">
        <v>0</v>
      </c>
      <c r="G33" s="309">
        <v>0</v>
      </c>
      <c r="H33" s="309">
        <v>0</v>
      </c>
      <c r="I33" s="309">
        <v>2304.9899999999998</v>
      </c>
      <c r="J33" s="309">
        <v>3099.99</v>
      </c>
      <c r="K33" s="309">
        <v>0</v>
      </c>
      <c r="L33" s="309">
        <v>0</v>
      </c>
      <c r="M33" s="309">
        <v>0</v>
      </c>
      <c r="N33" s="309">
        <v>0</v>
      </c>
      <c r="O33" s="309">
        <v>0</v>
      </c>
      <c r="P33" s="310">
        <v>0</v>
      </c>
      <c r="Q33" s="310">
        <f t="shared" si="4"/>
        <v>5404.98</v>
      </c>
    </row>
    <row r="34" spans="1:17" ht="26.25" customHeight="1" x14ac:dyDescent="0.85">
      <c r="A34" s="308"/>
      <c r="B34" s="309" t="s">
        <v>1721</v>
      </c>
      <c r="C34" s="309">
        <v>1800000</v>
      </c>
      <c r="D34" s="309">
        <v>3325000</v>
      </c>
      <c r="E34" s="309">
        <v>0</v>
      </c>
      <c r="F34" s="309">
        <v>0</v>
      </c>
      <c r="G34" s="309">
        <v>1000000</v>
      </c>
      <c r="H34" s="309">
        <v>53.1</v>
      </c>
      <c r="I34" s="309">
        <v>4568.37</v>
      </c>
      <c r="J34" s="309">
        <v>0</v>
      </c>
      <c r="K34" s="309">
        <v>0</v>
      </c>
      <c r="L34" s="309">
        <v>0</v>
      </c>
      <c r="M34" s="309">
        <v>0</v>
      </c>
      <c r="N34" s="309">
        <v>0</v>
      </c>
      <c r="O34" s="309">
        <v>800000</v>
      </c>
      <c r="P34" s="310">
        <v>0</v>
      </c>
      <c r="Q34" s="310">
        <f t="shared" si="4"/>
        <v>1804621.47</v>
      </c>
    </row>
    <row r="35" spans="1:17" ht="26.25" customHeight="1" x14ac:dyDescent="0.85">
      <c r="A35" s="308"/>
      <c r="B35" s="309" t="s">
        <v>1722</v>
      </c>
      <c r="C35" s="309">
        <v>0</v>
      </c>
      <c r="D35" s="309">
        <v>0</v>
      </c>
      <c r="E35" s="309">
        <v>0</v>
      </c>
      <c r="F35" s="309">
        <v>0</v>
      </c>
      <c r="G35" s="309">
        <v>0</v>
      </c>
      <c r="H35" s="309">
        <v>0</v>
      </c>
      <c r="I35" s="309">
        <v>0</v>
      </c>
      <c r="J35" s="309">
        <v>0</v>
      </c>
      <c r="K35" s="309">
        <v>0</v>
      </c>
      <c r="L35" s="309">
        <v>0</v>
      </c>
      <c r="M35" s="309">
        <v>0</v>
      </c>
      <c r="N35" s="309">
        <v>0</v>
      </c>
      <c r="O35" s="309">
        <v>0</v>
      </c>
      <c r="P35" s="310">
        <v>0</v>
      </c>
      <c r="Q35" s="310">
        <f t="shared" si="4"/>
        <v>0</v>
      </c>
    </row>
    <row r="36" spans="1:17" ht="26.25" customHeight="1" x14ac:dyDescent="0.85">
      <c r="A36" s="308"/>
      <c r="B36" s="309" t="s">
        <v>1723</v>
      </c>
      <c r="C36" s="309">
        <v>255000</v>
      </c>
      <c r="D36" s="309">
        <v>515000</v>
      </c>
      <c r="E36" s="309">
        <v>0</v>
      </c>
      <c r="F36" s="309">
        <v>7080</v>
      </c>
      <c r="G36" s="309">
        <v>59040.1</v>
      </c>
      <c r="H36" s="309">
        <v>50457.599999999999</v>
      </c>
      <c r="I36" s="309">
        <v>21989.55</v>
      </c>
      <c r="J36" s="309">
        <v>11056.08</v>
      </c>
      <c r="K36" s="309">
        <v>77553.490000000005</v>
      </c>
      <c r="L36" s="309">
        <v>50061.65</v>
      </c>
      <c r="M36" s="309">
        <v>49389.08</v>
      </c>
      <c r="N36" s="309">
        <v>0</v>
      </c>
      <c r="O36" s="309">
        <v>53170.8</v>
      </c>
      <c r="P36" s="310">
        <v>146615.04999999999</v>
      </c>
      <c r="Q36" s="310">
        <f t="shared" si="4"/>
        <v>526413.4</v>
      </c>
    </row>
    <row r="37" spans="1:17" ht="26.25" customHeight="1" x14ac:dyDescent="0.85">
      <c r="A37" s="305"/>
      <c r="B37" s="306" t="s">
        <v>1724</v>
      </c>
      <c r="C37" s="306">
        <f>C38+C39+C40+C41+C42+C43+C44</f>
        <v>0</v>
      </c>
      <c r="D37" s="307">
        <f>D38+D39+D40+D41+D42+D43+D44</f>
        <v>200000</v>
      </c>
      <c r="E37" s="307">
        <f t="shared" ref="E37:J37" si="8">E38+E39+E40+E41+E42+E43+E44</f>
        <v>0</v>
      </c>
      <c r="F37" s="307">
        <f t="shared" si="8"/>
        <v>0</v>
      </c>
      <c r="G37" s="307">
        <f t="shared" si="8"/>
        <v>0</v>
      </c>
      <c r="H37" s="307">
        <f t="shared" si="8"/>
        <v>0</v>
      </c>
      <c r="I37" s="307">
        <f t="shared" si="8"/>
        <v>0</v>
      </c>
      <c r="J37" s="307">
        <f t="shared" si="8"/>
        <v>0</v>
      </c>
      <c r="K37" s="307">
        <f t="shared" ref="K37:M37" si="9">+K38+K39+K40+K41+K42+K43+K44</f>
        <v>0</v>
      </c>
      <c r="L37" s="307">
        <f t="shared" si="9"/>
        <v>0</v>
      </c>
      <c r="M37" s="307">
        <f t="shared" si="9"/>
        <v>0</v>
      </c>
      <c r="N37" s="307">
        <v>0</v>
      </c>
      <c r="O37" s="307">
        <v>0</v>
      </c>
      <c r="P37" s="307">
        <v>0</v>
      </c>
      <c r="Q37" s="307">
        <f>SUM(E37:P37)</f>
        <v>0</v>
      </c>
    </row>
    <row r="38" spans="1:17" ht="26.25" customHeight="1" x14ac:dyDescent="0.85">
      <c r="A38" s="308"/>
      <c r="B38" s="309" t="s">
        <v>1725</v>
      </c>
      <c r="C38" s="309"/>
      <c r="D38" s="314">
        <v>200000</v>
      </c>
      <c r="E38" s="309">
        <v>0</v>
      </c>
      <c r="F38" s="311">
        <v>0</v>
      </c>
      <c r="G38" s="309">
        <v>0</v>
      </c>
      <c r="H38" s="309">
        <v>0</v>
      </c>
      <c r="I38" s="309">
        <v>0</v>
      </c>
      <c r="J38" s="309">
        <v>0</v>
      </c>
      <c r="K38" s="310">
        <v>0</v>
      </c>
      <c r="L38" s="310"/>
      <c r="M38" s="314"/>
      <c r="N38" s="314">
        <v>0</v>
      </c>
      <c r="O38" s="314">
        <v>0</v>
      </c>
      <c r="P38" s="310">
        <v>0</v>
      </c>
      <c r="Q38" s="310">
        <f t="shared" si="4"/>
        <v>0</v>
      </c>
    </row>
    <row r="39" spans="1:17" ht="26.25" customHeight="1" x14ac:dyDescent="0.85">
      <c r="A39" s="308"/>
      <c r="B39" s="309" t="s">
        <v>1726</v>
      </c>
      <c r="C39" s="309">
        <v>0</v>
      </c>
      <c r="D39" s="314">
        <v>0</v>
      </c>
      <c r="E39" s="309">
        <v>0</v>
      </c>
      <c r="F39" s="309">
        <v>0</v>
      </c>
      <c r="G39" s="309">
        <v>0</v>
      </c>
      <c r="H39" s="309">
        <v>0</v>
      </c>
      <c r="I39" s="309">
        <v>0</v>
      </c>
      <c r="J39" s="309">
        <v>0</v>
      </c>
      <c r="K39" s="309">
        <v>0</v>
      </c>
      <c r="L39" s="309">
        <v>0</v>
      </c>
      <c r="M39" s="314">
        <v>0</v>
      </c>
      <c r="N39" s="314">
        <v>0</v>
      </c>
      <c r="O39" s="314">
        <v>0</v>
      </c>
      <c r="P39" s="310">
        <v>0</v>
      </c>
      <c r="Q39" s="310">
        <f t="shared" si="4"/>
        <v>0</v>
      </c>
    </row>
    <row r="40" spans="1:17" ht="26.25" customHeight="1" x14ac:dyDescent="0.85">
      <c r="A40" s="308"/>
      <c r="B40" s="309" t="s">
        <v>1727</v>
      </c>
      <c r="C40" s="309">
        <v>0</v>
      </c>
      <c r="D40" s="314">
        <v>0</v>
      </c>
      <c r="E40" s="309">
        <v>0</v>
      </c>
      <c r="F40" s="309">
        <v>0</v>
      </c>
      <c r="G40" s="309">
        <v>0</v>
      </c>
      <c r="H40" s="309">
        <v>0</v>
      </c>
      <c r="I40" s="309">
        <v>0</v>
      </c>
      <c r="J40" s="309">
        <v>0</v>
      </c>
      <c r="K40" s="309">
        <v>0</v>
      </c>
      <c r="L40" s="309">
        <v>0</v>
      </c>
      <c r="M40" s="314">
        <v>0</v>
      </c>
      <c r="N40" s="314">
        <v>0</v>
      </c>
      <c r="O40" s="314">
        <v>0</v>
      </c>
      <c r="P40" s="310">
        <v>0</v>
      </c>
      <c r="Q40" s="310">
        <f t="shared" si="4"/>
        <v>0</v>
      </c>
    </row>
    <row r="41" spans="1:17" ht="26.25" customHeight="1" x14ac:dyDescent="0.85">
      <c r="A41" s="308"/>
      <c r="B41" s="309" t="s">
        <v>1728</v>
      </c>
      <c r="C41" s="309">
        <v>0</v>
      </c>
      <c r="D41" s="314">
        <v>0</v>
      </c>
      <c r="E41" s="309">
        <v>0</v>
      </c>
      <c r="F41" s="309">
        <v>0</v>
      </c>
      <c r="G41" s="309">
        <v>0</v>
      </c>
      <c r="H41" s="309">
        <v>0</v>
      </c>
      <c r="I41" s="309">
        <v>0</v>
      </c>
      <c r="J41" s="309">
        <v>0</v>
      </c>
      <c r="K41" s="309">
        <v>0</v>
      </c>
      <c r="L41" s="309">
        <v>0</v>
      </c>
      <c r="M41" s="314">
        <v>0</v>
      </c>
      <c r="N41" s="314">
        <v>0</v>
      </c>
      <c r="O41" s="314">
        <v>0</v>
      </c>
      <c r="P41" s="310">
        <v>0</v>
      </c>
      <c r="Q41" s="310">
        <f t="shared" si="4"/>
        <v>0</v>
      </c>
    </row>
    <row r="42" spans="1:17" ht="26.25" customHeight="1" x14ac:dyDescent="0.85">
      <c r="A42" s="308"/>
      <c r="B42" s="309" t="s">
        <v>1729</v>
      </c>
      <c r="C42" s="309">
        <v>0</v>
      </c>
      <c r="D42" s="314">
        <v>0</v>
      </c>
      <c r="E42" s="309">
        <v>0</v>
      </c>
      <c r="F42" s="309">
        <v>0</v>
      </c>
      <c r="G42" s="309">
        <v>0</v>
      </c>
      <c r="H42" s="309">
        <v>0</v>
      </c>
      <c r="I42" s="309">
        <v>0</v>
      </c>
      <c r="J42" s="309">
        <v>0</v>
      </c>
      <c r="K42" s="309">
        <v>0</v>
      </c>
      <c r="L42" s="309">
        <v>0</v>
      </c>
      <c r="M42" s="314">
        <v>0</v>
      </c>
      <c r="N42" s="314">
        <v>0</v>
      </c>
      <c r="O42" s="314">
        <v>0</v>
      </c>
      <c r="P42" s="310">
        <v>0</v>
      </c>
      <c r="Q42" s="310">
        <f t="shared" si="4"/>
        <v>0</v>
      </c>
    </row>
    <row r="43" spans="1:17" ht="26.25" customHeight="1" x14ac:dyDescent="0.85">
      <c r="A43" s="308"/>
      <c r="B43" s="309" t="s">
        <v>1730</v>
      </c>
      <c r="C43" s="309">
        <v>0</v>
      </c>
      <c r="D43" s="314">
        <v>0</v>
      </c>
      <c r="E43" s="309">
        <v>0</v>
      </c>
      <c r="F43" s="309">
        <v>0</v>
      </c>
      <c r="G43" s="309">
        <v>0</v>
      </c>
      <c r="H43" s="309">
        <v>0</v>
      </c>
      <c r="I43" s="309">
        <v>0</v>
      </c>
      <c r="J43" s="309">
        <v>0</v>
      </c>
      <c r="K43" s="309">
        <v>0</v>
      </c>
      <c r="L43" s="309">
        <v>0</v>
      </c>
      <c r="M43" s="314">
        <v>0</v>
      </c>
      <c r="N43" s="314">
        <v>0</v>
      </c>
      <c r="O43" s="314">
        <v>0</v>
      </c>
      <c r="P43" s="310">
        <v>0</v>
      </c>
      <c r="Q43" s="310">
        <f t="shared" si="4"/>
        <v>0</v>
      </c>
    </row>
    <row r="44" spans="1:17" ht="26.25" customHeight="1" x14ac:dyDescent="0.85">
      <c r="A44" s="308"/>
      <c r="B44" s="309" t="s">
        <v>1731</v>
      </c>
      <c r="C44" s="309">
        <v>0</v>
      </c>
      <c r="D44" s="314">
        <v>0</v>
      </c>
      <c r="E44" s="309">
        <v>0</v>
      </c>
      <c r="F44" s="309">
        <v>0</v>
      </c>
      <c r="G44" s="309">
        <v>0</v>
      </c>
      <c r="H44" s="309">
        <v>0</v>
      </c>
      <c r="I44" s="309">
        <v>0</v>
      </c>
      <c r="J44" s="309">
        <v>0</v>
      </c>
      <c r="K44" s="309">
        <v>0</v>
      </c>
      <c r="L44" s="309">
        <v>0</v>
      </c>
      <c r="M44" s="314">
        <v>0</v>
      </c>
      <c r="N44" s="314">
        <v>0</v>
      </c>
      <c r="O44" s="314">
        <v>0</v>
      </c>
      <c r="P44" s="310">
        <v>0</v>
      </c>
      <c r="Q44" s="310">
        <f t="shared" si="4"/>
        <v>0</v>
      </c>
    </row>
    <row r="45" spans="1:17" ht="26.25" customHeight="1" x14ac:dyDescent="0.85">
      <c r="A45" s="308"/>
      <c r="B45" s="315" t="s">
        <v>1732</v>
      </c>
      <c r="C45" s="316">
        <f t="shared" ref="C45:D45" si="10">C46+C47+C48+C49+C50+C51</f>
        <v>0</v>
      </c>
      <c r="D45" s="316">
        <f t="shared" si="10"/>
        <v>0</v>
      </c>
      <c r="E45" s="316">
        <f>E46+E47+E48+E49+E50+E51</f>
        <v>0</v>
      </c>
      <c r="F45" s="316">
        <f t="shared" ref="F45:M45" si="11">F46+F47+F48+F49+F50+F51</f>
        <v>0</v>
      </c>
      <c r="G45" s="316">
        <f t="shared" si="11"/>
        <v>0</v>
      </c>
      <c r="H45" s="316">
        <f t="shared" si="11"/>
        <v>0</v>
      </c>
      <c r="I45" s="316">
        <f t="shared" si="11"/>
        <v>0</v>
      </c>
      <c r="J45" s="316">
        <f t="shared" si="11"/>
        <v>0</v>
      </c>
      <c r="K45" s="316">
        <f t="shared" si="11"/>
        <v>0</v>
      </c>
      <c r="L45" s="316">
        <f t="shared" si="11"/>
        <v>0</v>
      </c>
      <c r="M45" s="316">
        <f t="shared" si="11"/>
        <v>0</v>
      </c>
      <c r="N45" s="316">
        <v>0</v>
      </c>
      <c r="O45" s="316">
        <v>0</v>
      </c>
      <c r="P45" s="316">
        <v>0</v>
      </c>
      <c r="Q45" s="316">
        <v>0</v>
      </c>
    </row>
    <row r="46" spans="1:17" ht="26.25" customHeight="1" x14ac:dyDescent="0.85">
      <c r="A46" s="308"/>
      <c r="B46" s="309" t="s">
        <v>1733</v>
      </c>
      <c r="C46" s="309">
        <f>+C47+C48+C49+C50+C51</f>
        <v>0</v>
      </c>
      <c r="D46" s="309">
        <f>+D47+D48+D49+D50+D51</f>
        <v>0</v>
      </c>
      <c r="E46" s="309">
        <v>0</v>
      </c>
      <c r="F46" s="309">
        <v>0</v>
      </c>
      <c r="G46" s="309">
        <v>0</v>
      </c>
      <c r="H46" s="309">
        <v>0</v>
      </c>
      <c r="I46" s="309">
        <v>0</v>
      </c>
      <c r="J46" s="309">
        <v>0</v>
      </c>
      <c r="K46" s="309">
        <v>0</v>
      </c>
      <c r="L46" s="309">
        <v>0</v>
      </c>
      <c r="M46" s="309">
        <v>0</v>
      </c>
      <c r="N46" s="309">
        <v>0</v>
      </c>
      <c r="O46" s="309">
        <v>0</v>
      </c>
      <c r="P46" s="310">
        <v>0</v>
      </c>
      <c r="Q46" s="310">
        <v>0</v>
      </c>
    </row>
    <row r="47" spans="1:17" ht="26.25" customHeight="1" x14ac:dyDescent="0.85">
      <c r="A47" s="308"/>
      <c r="B47" s="309" t="s">
        <v>1734</v>
      </c>
      <c r="C47" s="309"/>
      <c r="D47" s="309">
        <v>0</v>
      </c>
      <c r="E47" s="309">
        <v>0</v>
      </c>
      <c r="F47" s="309">
        <v>0</v>
      </c>
      <c r="G47" s="309">
        <v>0</v>
      </c>
      <c r="H47" s="309">
        <v>0</v>
      </c>
      <c r="I47" s="309">
        <v>0</v>
      </c>
      <c r="J47" s="309">
        <v>0</v>
      </c>
      <c r="K47" s="309">
        <v>0</v>
      </c>
      <c r="L47" s="309">
        <v>0</v>
      </c>
      <c r="M47" s="309">
        <v>0</v>
      </c>
      <c r="N47" s="309">
        <v>0</v>
      </c>
      <c r="O47" s="309">
        <v>0</v>
      </c>
      <c r="P47" s="310">
        <v>0</v>
      </c>
      <c r="Q47" s="310">
        <v>0</v>
      </c>
    </row>
    <row r="48" spans="1:17" ht="26.25" customHeight="1" x14ac:dyDescent="0.85">
      <c r="A48" s="308"/>
      <c r="B48" s="309" t="s">
        <v>1735</v>
      </c>
      <c r="C48" s="309">
        <v>0</v>
      </c>
      <c r="D48" s="309">
        <v>0</v>
      </c>
      <c r="E48" s="309">
        <v>0</v>
      </c>
      <c r="F48" s="309">
        <v>0</v>
      </c>
      <c r="G48" s="309">
        <v>0</v>
      </c>
      <c r="H48" s="309">
        <v>0</v>
      </c>
      <c r="I48" s="309">
        <v>0</v>
      </c>
      <c r="J48" s="309">
        <v>0</v>
      </c>
      <c r="K48" s="309">
        <v>0</v>
      </c>
      <c r="L48" s="309">
        <v>0</v>
      </c>
      <c r="M48" s="309">
        <v>0</v>
      </c>
      <c r="N48" s="309">
        <v>0</v>
      </c>
      <c r="O48" s="309">
        <v>0</v>
      </c>
      <c r="P48" s="310">
        <v>0</v>
      </c>
      <c r="Q48" s="310">
        <v>0</v>
      </c>
    </row>
    <row r="49" spans="1:17" ht="26.25" customHeight="1" x14ac:dyDescent="0.85">
      <c r="A49" s="308"/>
      <c r="B49" s="309" t="s">
        <v>1736</v>
      </c>
      <c r="C49" s="309">
        <v>0</v>
      </c>
      <c r="D49" s="309">
        <v>0</v>
      </c>
      <c r="E49" s="309">
        <v>0</v>
      </c>
      <c r="F49" s="309">
        <v>0</v>
      </c>
      <c r="G49" s="309">
        <v>0</v>
      </c>
      <c r="H49" s="309">
        <v>0</v>
      </c>
      <c r="I49" s="309">
        <v>0</v>
      </c>
      <c r="J49" s="309">
        <v>0</v>
      </c>
      <c r="K49" s="309">
        <v>0</v>
      </c>
      <c r="L49" s="309">
        <v>0</v>
      </c>
      <c r="M49" s="309">
        <v>0</v>
      </c>
      <c r="N49" s="309">
        <v>0</v>
      </c>
      <c r="O49" s="309">
        <v>0</v>
      </c>
      <c r="P49" s="310">
        <v>0</v>
      </c>
      <c r="Q49" s="310">
        <v>0</v>
      </c>
    </row>
    <row r="50" spans="1:17" ht="26.25" customHeight="1" x14ac:dyDescent="0.85">
      <c r="A50" s="308"/>
      <c r="B50" s="309" t="s">
        <v>1737</v>
      </c>
      <c r="C50" s="309">
        <v>0</v>
      </c>
      <c r="D50" s="309">
        <v>0</v>
      </c>
      <c r="E50" s="309">
        <v>0</v>
      </c>
      <c r="F50" s="309">
        <v>0</v>
      </c>
      <c r="G50" s="309">
        <v>0</v>
      </c>
      <c r="H50" s="309">
        <v>0</v>
      </c>
      <c r="I50" s="309">
        <v>0</v>
      </c>
      <c r="J50" s="309">
        <v>0</v>
      </c>
      <c r="K50" s="309">
        <v>0</v>
      </c>
      <c r="L50" s="309">
        <v>0</v>
      </c>
      <c r="M50" s="309">
        <v>0</v>
      </c>
      <c r="N50" s="309">
        <v>0</v>
      </c>
      <c r="O50" s="309">
        <v>0</v>
      </c>
      <c r="P50" s="310">
        <v>0</v>
      </c>
      <c r="Q50" s="310">
        <v>0</v>
      </c>
    </row>
    <row r="51" spans="1:17" ht="26.25" customHeight="1" x14ac:dyDescent="0.85">
      <c r="A51" s="308"/>
      <c r="B51" s="309" t="s">
        <v>1738</v>
      </c>
      <c r="C51" s="309">
        <v>0</v>
      </c>
      <c r="D51" s="309">
        <v>0</v>
      </c>
      <c r="E51" s="309">
        <v>0</v>
      </c>
      <c r="F51" s="309">
        <v>0</v>
      </c>
      <c r="G51" s="309">
        <v>0</v>
      </c>
      <c r="H51" s="309">
        <v>0</v>
      </c>
      <c r="I51" s="309">
        <v>0</v>
      </c>
      <c r="J51" s="309">
        <v>0</v>
      </c>
      <c r="K51" s="309">
        <v>0</v>
      </c>
      <c r="L51" s="309">
        <v>0</v>
      </c>
      <c r="M51" s="309">
        <v>0</v>
      </c>
      <c r="N51" s="309">
        <v>0</v>
      </c>
      <c r="O51" s="309">
        <v>0</v>
      </c>
      <c r="P51" s="310">
        <v>0</v>
      </c>
      <c r="Q51" s="310">
        <v>0</v>
      </c>
    </row>
    <row r="52" spans="1:17" ht="26.25" customHeight="1" x14ac:dyDescent="0.85">
      <c r="A52" s="305"/>
      <c r="B52" s="316" t="s">
        <v>1739</v>
      </c>
      <c r="C52" s="316">
        <f>+C53+C54+C57+C60+C55</f>
        <v>829410</v>
      </c>
      <c r="D52" s="316">
        <f>+D53+D54+D57+D60+D55+D56+D58+D59+D61</f>
        <v>6139410</v>
      </c>
      <c r="E52" s="316">
        <f t="shared" ref="E52:J52" si="12">+E53+E54+E57+E60+E55+E56+E58+E59+E61</f>
        <v>0</v>
      </c>
      <c r="F52" s="316">
        <f t="shared" si="12"/>
        <v>0</v>
      </c>
      <c r="G52" s="316">
        <f t="shared" si="12"/>
        <v>96542.31</v>
      </c>
      <c r="H52" s="316">
        <f t="shared" si="12"/>
        <v>25941.99</v>
      </c>
      <c r="I52" s="316">
        <f t="shared" si="12"/>
        <v>9636.35</v>
      </c>
      <c r="J52" s="316">
        <f t="shared" si="12"/>
        <v>210087.03</v>
      </c>
      <c r="K52" s="316">
        <f t="shared" ref="K52:P52" si="13">K53+K54+K55+K56+K57+K58+K59+K60+K61</f>
        <v>1495533.6</v>
      </c>
      <c r="L52" s="316">
        <f t="shared" si="13"/>
        <v>2540400.0099999998</v>
      </c>
      <c r="M52" s="316">
        <f t="shared" si="13"/>
        <v>309264.33999999997</v>
      </c>
      <c r="N52" s="316">
        <f t="shared" si="13"/>
        <v>6719.99</v>
      </c>
      <c r="O52" s="316">
        <f t="shared" si="13"/>
        <v>0</v>
      </c>
      <c r="P52" s="316">
        <f t="shared" si="13"/>
        <v>0</v>
      </c>
      <c r="Q52" s="316">
        <f>SUM(E52:P52)</f>
        <v>4694125.62</v>
      </c>
    </row>
    <row r="53" spans="1:17" ht="26.25" customHeight="1" x14ac:dyDescent="0.85">
      <c r="A53" s="308"/>
      <c r="B53" s="309" t="s">
        <v>1740</v>
      </c>
      <c r="C53" s="309">
        <v>775500</v>
      </c>
      <c r="D53" s="309">
        <v>1545500</v>
      </c>
      <c r="E53" s="309">
        <v>0</v>
      </c>
      <c r="F53" s="309">
        <v>0</v>
      </c>
      <c r="G53" s="310">
        <v>96542.31</v>
      </c>
      <c r="H53" s="310">
        <v>25941.99</v>
      </c>
      <c r="I53" s="310">
        <v>0</v>
      </c>
      <c r="J53" s="310">
        <v>130791.03</v>
      </c>
      <c r="K53" s="310">
        <v>134251.1</v>
      </c>
      <c r="L53" s="310">
        <v>306000.01</v>
      </c>
      <c r="M53" s="309">
        <v>259704.34</v>
      </c>
      <c r="N53" s="309">
        <v>0</v>
      </c>
      <c r="O53" s="309">
        <v>0</v>
      </c>
      <c r="P53" s="310">
        <v>0</v>
      </c>
      <c r="Q53" s="310">
        <f t="shared" ref="Q53:Q61" si="14">SUM(E53:P53)</f>
        <v>953230.78</v>
      </c>
    </row>
    <row r="54" spans="1:17" ht="26.25" customHeight="1" x14ac:dyDescent="0.85">
      <c r="A54" s="308"/>
      <c r="B54" s="309" t="s">
        <v>1741</v>
      </c>
      <c r="C54" s="309">
        <v>0</v>
      </c>
      <c r="D54" s="309">
        <v>860000</v>
      </c>
      <c r="E54" s="309">
        <v>0</v>
      </c>
      <c r="F54" s="309">
        <v>0</v>
      </c>
      <c r="G54" s="309">
        <v>0</v>
      </c>
      <c r="H54" s="309">
        <v>0</v>
      </c>
      <c r="I54" s="309">
        <v>0</v>
      </c>
      <c r="J54" s="309">
        <v>0</v>
      </c>
      <c r="K54" s="309">
        <v>302670</v>
      </c>
      <c r="L54" s="309">
        <v>0</v>
      </c>
      <c r="M54" s="309">
        <v>0</v>
      </c>
      <c r="N54" s="309">
        <v>0</v>
      </c>
      <c r="O54" s="309">
        <v>0</v>
      </c>
      <c r="P54" s="310">
        <v>0</v>
      </c>
      <c r="Q54" s="310">
        <f t="shared" si="14"/>
        <v>302670</v>
      </c>
    </row>
    <row r="55" spans="1:17" ht="26.25" customHeight="1" x14ac:dyDescent="0.85">
      <c r="A55" s="308"/>
      <c r="B55" s="309" t="s">
        <v>1742</v>
      </c>
      <c r="C55" s="309">
        <v>0</v>
      </c>
      <c r="D55" s="309">
        <v>0</v>
      </c>
      <c r="E55" s="309">
        <v>0</v>
      </c>
      <c r="F55" s="309">
        <v>0</v>
      </c>
      <c r="G55" s="309">
        <v>0</v>
      </c>
      <c r="H55" s="309">
        <v>0</v>
      </c>
      <c r="I55" s="309">
        <v>0</v>
      </c>
      <c r="J55" s="309">
        <v>0</v>
      </c>
      <c r="K55" s="309">
        <v>108712.5</v>
      </c>
      <c r="L55" s="309">
        <v>2234400</v>
      </c>
      <c r="M55" s="309">
        <v>0</v>
      </c>
      <c r="N55" s="309">
        <v>0</v>
      </c>
      <c r="O55" s="309">
        <v>0</v>
      </c>
      <c r="P55" s="310">
        <v>0</v>
      </c>
      <c r="Q55" s="310">
        <f t="shared" si="14"/>
        <v>2343112.5</v>
      </c>
    </row>
    <row r="56" spans="1:17" ht="26.25" customHeight="1" x14ac:dyDescent="0.85">
      <c r="A56" s="308"/>
      <c r="B56" s="309" t="s">
        <v>1743</v>
      </c>
      <c r="C56" s="309">
        <v>0</v>
      </c>
      <c r="D56" s="309">
        <v>3000000</v>
      </c>
      <c r="E56" s="309">
        <v>0</v>
      </c>
      <c r="F56" s="309">
        <v>0</v>
      </c>
      <c r="G56" s="309">
        <v>0</v>
      </c>
      <c r="H56" s="309">
        <v>0</v>
      </c>
      <c r="I56" s="309">
        <v>9636.35</v>
      </c>
      <c r="J56" s="309">
        <v>0</v>
      </c>
      <c r="K56" s="309">
        <v>0</v>
      </c>
      <c r="L56" s="309">
        <v>0</v>
      </c>
      <c r="M56" s="309">
        <v>0</v>
      </c>
      <c r="N56" s="309">
        <v>0</v>
      </c>
      <c r="O56" s="309">
        <v>0</v>
      </c>
      <c r="P56" s="310">
        <v>0</v>
      </c>
      <c r="Q56" s="310">
        <f t="shared" si="14"/>
        <v>9636.35</v>
      </c>
    </row>
    <row r="57" spans="1:17" ht="26.25" customHeight="1" x14ac:dyDescent="0.85">
      <c r="A57" s="308"/>
      <c r="B57" s="309" t="s">
        <v>1744</v>
      </c>
      <c r="C57" s="309">
        <v>0</v>
      </c>
      <c r="D57" s="309">
        <v>680000</v>
      </c>
      <c r="E57" s="309">
        <v>0</v>
      </c>
      <c r="F57" s="309">
        <v>0</v>
      </c>
      <c r="G57" s="309">
        <v>0</v>
      </c>
      <c r="H57" s="309">
        <v>0</v>
      </c>
      <c r="I57" s="309">
        <v>0</v>
      </c>
      <c r="J57" s="309">
        <v>79296</v>
      </c>
      <c r="K57" s="309">
        <v>949900</v>
      </c>
      <c r="L57" s="309">
        <v>0</v>
      </c>
      <c r="M57" s="309">
        <v>49560</v>
      </c>
      <c r="N57" s="309">
        <v>6719.99</v>
      </c>
      <c r="O57" s="309">
        <v>0</v>
      </c>
      <c r="P57" s="310">
        <v>0</v>
      </c>
      <c r="Q57" s="310">
        <f t="shared" si="14"/>
        <v>1085475.99</v>
      </c>
    </row>
    <row r="58" spans="1:17" ht="26.25" customHeight="1" x14ac:dyDescent="0.85">
      <c r="A58" s="308"/>
      <c r="B58" s="309" t="s">
        <v>1745</v>
      </c>
      <c r="C58" s="309">
        <v>0</v>
      </c>
      <c r="D58" s="309">
        <v>0</v>
      </c>
      <c r="E58" s="309">
        <v>0</v>
      </c>
      <c r="F58" s="309">
        <v>0</v>
      </c>
      <c r="G58" s="309">
        <v>0</v>
      </c>
      <c r="H58" s="309">
        <v>0</v>
      </c>
      <c r="I58" s="309">
        <v>0</v>
      </c>
      <c r="J58" s="309">
        <v>0</v>
      </c>
      <c r="K58" s="309">
        <v>0</v>
      </c>
      <c r="L58" s="309">
        <v>0</v>
      </c>
      <c r="M58" s="309">
        <v>0</v>
      </c>
      <c r="N58" s="309">
        <v>0</v>
      </c>
      <c r="O58" s="309">
        <v>0</v>
      </c>
      <c r="P58" s="310">
        <v>0</v>
      </c>
      <c r="Q58" s="310">
        <f t="shared" si="14"/>
        <v>0</v>
      </c>
    </row>
    <row r="59" spans="1:17" ht="26.25" customHeight="1" x14ac:dyDescent="0.85">
      <c r="A59" s="308"/>
      <c r="B59" s="309" t="s">
        <v>1746</v>
      </c>
      <c r="C59" s="309">
        <v>0</v>
      </c>
      <c r="D59" s="309">
        <v>0</v>
      </c>
      <c r="E59" s="309">
        <v>0</v>
      </c>
      <c r="F59" s="309">
        <v>0</v>
      </c>
      <c r="G59" s="309">
        <v>0</v>
      </c>
      <c r="H59" s="309">
        <v>0</v>
      </c>
      <c r="I59" s="309">
        <v>0</v>
      </c>
      <c r="J59" s="309">
        <v>0</v>
      </c>
      <c r="K59" s="309">
        <v>0</v>
      </c>
      <c r="L59" s="309">
        <v>0</v>
      </c>
      <c r="M59" s="309">
        <v>0</v>
      </c>
      <c r="N59" s="309">
        <v>0</v>
      </c>
      <c r="O59" s="309">
        <v>0</v>
      </c>
      <c r="P59" s="310">
        <v>0</v>
      </c>
      <c r="Q59" s="310">
        <f t="shared" si="14"/>
        <v>0</v>
      </c>
    </row>
    <row r="60" spans="1:17" ht="26.25" customHeight="1" x14ac:dyDescent="0.85">
      <c r="A60" s="308"/>
      <c r="B60" s="309" t="s">
        <v>1747</v>
      </c>
      <c r="C60" s="309">
        <v>53910</v>
      </c>
      <c r="D60" s="309">
        <v>53910</v>
      </c>
      <c r="E60" s="309">
        <v>0</v>
      </c>
      <c r="F60" s="309">
        <v>0</v>
      </c>
      <c r="G60" s="309">
        <v>0</v>
      </c>
      <c r="H60" s="309">
        <v>0</v>
      </c>
      <c r="I60" s="309">
        <v>0</v>
      </c>
      <c r="J60" s="309">
        <v>0</v>
      </c>
      <c r="K60" s="309">
        <v>0</v>
      </c>
      <c r="L60" s="309">
        <v>0</v>
      </c>
      <c r="M60" s="309">
        <v>0</v>
      </c>
      <c r="N60" s="309">
        <v>0</v>
      </c>
      <c r="O60" s="309">
        <v>0</v>
      </c>
      <c r="P60" s="310">
        <v>0</v>
      </c>
      <c r="Q60" s="310">
        <f t="shared" si="14"/>
        <v>0</v>
      </c>
    </row>
    <row r="61" spans="1:17" ht="26.25" customHeight="1" x14ac:dyDescent="0.85">
      <c r="A61" s="308"/>
      <c r="B61" s="309" t="s">
        <v>1748</v>
      </c>
      <c r="C61" s="309">
        <v>0</v>
      </c>
      <c r="D61" s="309"/>
      <c r="E61" s="309">
        <v>0</v>
      </c>
      <c r="F61" s="309">
        <v>0</v>
      </c>
      <c r="G61" s="309">
        <v>0</v>
      </c>
      <c r="H61" s="309">
        <v>0</v>
      </c>
      <c r="I61" s="309">
        <v>0</v>
      </c>
      <c r="J61" s="309">
        <v>0</v>
      </c>
      <c r="K61" s="309">
        <v>0</v>
      </c>
      <c r="L61" s="309">
        <v>0</v>
      </c>
      <c r="M61" s="309">
        <v>0</v>
      </c>
      <c r="N61" s="309">
        <v>0</v>
      </c>
      <c r="O61" s="309">
        <v>0</v>
      </c>
      <c r="P61" s="310">
        <v>0</v>
      </c>
      <c r="Q61" s="310">
        <f t="shared" si="14"/>
        <v>0</v>
      </c>
    </row>
    <row r="62" spans="1:17" ht="26.25" customHeight="1" x14ac:dyDescent="0.85">
      <c r="A62" s="305"/>
      <c r="B62" s="316" t="s">
        <v>1749</v>
      </c>
      <c r="C62" s="316">
        <v>0</v>
      </c>
      <c r="D62" s="316">
        <v>0</v>
      </c>
      <c r="E62" s="316">
        <v>0</v>
      </c>
      <c r="F62" s="316">
        <v>0</v>
      </c>
      <c r="G62" s="316">
        <v>0</v>
      </c>
      <c r="H62" s="316">
        <v>0</v>
      </c>
      <c r="I62" s="316">
        <v>0</v>
      </c>
      <c r="J62" s="316">
        <v>0</v>
      </c>
      <c r="K62" s="316">
        <v>0</v>
      </c>
      <c r="L62" s="316">
        <v>0</v>
      </c>
      <c r="M62" s="316">
        <v>0</v>
      </c>
      <c r="N62" s="316">
        <v>0</v>
      </c>
      <c r="O62" s="316">
        <v>0</v>
      </c>
      <c r="P62" s="316">
        <v>0</v>
      </c>
      <c r="Q62" s="316">
        <v>0</v>
      </c>
    </row>
    <row r="63" spans="1:17" ht="26.25" customHeight="1" x14ac:dyDescent="0.85">
      <c r="A63" s="308"/>
      <c r="B63" s="317" t="s">
        <v>1750</v>
      </c>
      <c r="C63" s="317">
        <v>0</v>
      </c>
      <c r="D63" s="309">
        <v>0</v>
      </c>
      <c r="E63" s="309">
        <v>0</v>
      </c>
      <c r="F63" s="309">
        <v>0</v>
      </c>
      <c r="G63" s="309">
        <v>0</v>
      </c>
      <c r="H63" s="309">
        <v>0</v>
      </c>
      <c r="I63" s="309">
        <v>0</v>
      </c>
      <c r="J63" s="309">
        <v>0</v>
      </c>
      <c r="K63" s="309">
        <v>0</v>
      </c>
      <c r="L63" s="309">
        <v>0</v>
      </c>
      <c r="M63" s="309">
        <v>0</v>
      </c>
      <c r="N63" s="309">
        <v>0</v>
      </c>
      <c r="O63" s="309">
        <v>0</v>
      </c>
      <c r="P63" s="310">
        <v>0</v>
      </c>
      <c r="Q63" s="310">
        <v>0</v>
      </c>
    </row>
    <row r="64" spans="1:17" ht="26.25" customHeight="1" x14ac:dyDescent="0.85">
      <c r="A64" s="308"/>
      <c r="B64" s="317" t="s">
        <v>1751</v>
      </c>
      <c r="C64" s="317">
        <v>0</v>
      </c>
      <c r="D64" s="309">
        <v>0</v>
      </c>
      <c r="E64" s="309">
        <v>0</v>
      </c>
      <c r="F64" s="309">
        <v>0</v>
      </c>
      <c r="G64" s="309">
        <v>0</v>
      </c>
      <c r="H64" s="309">
        <v>0</v>
      </c>
      <c r="I64" s="309">
        <v>0</v>
      </c>
      <c r="J64" s="309">
        <v>0</v>
      </c>
      <c r="K64" s="309">
        <v>0</v>
      </c>
      <c r="L64" s="309">
        <v>0</v>
      </c>
      <c r="M64" s="309">
        <v>0</v>
      </c>
      <c r="N64" s="309">
        <v>0</v>
      </c>
      <c r="O64" s="309">
        <v>0</v>
      </c>
      <c r="P64" s="310">
        <v>0</v>
      </c>
      <c r="Q64" s="310">
        <v>0</v>
      </c>
    </row>
    <row r="65" spans="1:17" ht="26.25" customHeight="1" x14ac:dyDescent="0.85">
      <c r="A65" s="308"/>
      <c r="B65" s="317" t="s">
        <v>1752</v>
      </c>
      <c r="C65" s="317">
        <v>0</v>
      </c>
      <c r="D65" s="309">
        <v>0</v>
      </c>
      <c r="E65" s="309">
        <v>0</v>
      </c>
      <c r="F65" s="309">
        <v>0</v>
      </c>
      <c r="G65" s="309">
        <v>0</v>
      </c>
      <c r="H65" s="309">
        <v>0</v>
      </c>
      <c r="I65" s="309">
        <v>0</v>
      </c>
      <c r="J65" s="309">
        <v>0</v>
      </c>
      <c r="K65" s="309">
        <v>0</v>
      </c>
      <c r="L65" s="309">
        <v>0</v>
      </c>
      <c r="M65" s="309">
        <v>0</v>
      </c>
      <c r="N65" s="309">
        <v>0</v>
      </c>
      <c r="O65" s="309">
        <v>0</v>
      </c>
      <c r="P65" s="310">
        <v>0</v>
      </c>
      <c r="Q65" s="310">
        <v>0</v>
      </c>
    </row>
    <row r="66" spans="1:17" ht="46.5" customHeight="1" x14ac:dyDescent="0.85">
      <c r="A66" s="318"/>
      <c r="B66" s="317" t="s">
        <v>1753</v>
      </c>
      <c r="C66" s="317">
        <v>0</v>
      </c>
      <c r="D66" s="309">
        <v>0</v>
      </c>
      <c r="E66" s="309">
        <v>0</v>
      </c>
      <c r="F66" s="309">
        <v>0</v>
      </c>
      <c r="G66" s="309">
        <v>0</v>
      </c>
      <c r="H66" s="309">
        <v>0</v>
      </c>
      <c r="I66" s="309">
        <v>0</v>
      </c>
      <c r="J66" s="309">
        <v>0</v>
      </c>
      <c r="K66" s="309">
        <v>0</v>
      </c>
      <c r="L66" s="309">
        <v>0</v>
      </c>
      <c r="M66" s="309">
        <v>0</v>
      </c>
      <c r="N66" s="309">
        <v>0</v>
      </c>
      <c r="O66" s="309">
        <v>0</v>
      </c>
      <c r="P66" s="310">
        <v>0</v>
      </c>
      <c r="Q66" s="310">
        <v>0</v>
      </c>
    </row>
    <row r="67" spans="1:17" ht="26.25" customHeight="1" x14ac:dyDescent="0.85">
      <c r="A67" s="305"/>
      <c r="B67" s="316" t="s">
        <v>1754</v>
      </c>
      <c r="C67" s="316">
        <v>0</v>
      </c>
      <c r="D67" s="316">
        <v>0</v>
      </c>
      <c r="E67" s="316">
        <v>0</v>
      </c>
      <c r="F67" s="316">
        <v>0</v>
      </c>
      <c r="G67" s="316">
        <v>0</v>
      </c>
      <c r="H67" s="316">
        <v>0</v>
      </c>
      <c r="I67" s="316">
        <v>0</v>
      </c>
      <c r="J67" s="316">
        <v>0</v>
      </c>
      <c r="K67" s="316">
        <v>0</v>
      </c>
      <c r="L67" s="316"/>
      <c r="M67" s="316"/>
      <c r="N67" s="316"/>
      <c r="O67" s="316"/>
      <c r="P67" s="316"/>
      <c r="Q67" s="316"/>
    </row>
    <row r="68" spans="1:17" ht="26.25" customHeight="1" x14ac:dyDescent="0.85">
      <c r="A68" s="308"/>
      <c r="B68" s="317" t="s">
        <v>1755</v>
      </c>
      <c r="C68" s="317">
        <v>0</v>
      </c>
      <c r="D68" s="309">
        <v>0</v>
      </c>
      <c r="E68" s="309">
        <v>0</v>
      </c>
      <c r="F68" s="309">
        <v>0</v>
      </c>
      <c r="G68" s="309">
        <v>0</v>
      </c>
      <c r="H68" s="309">
        <v>0</v>
      </c>
      <c r="I68" s="309">
        <v>0</v>
      </c>
      <c r="J68" s="309">
        <v>0</v>
      </c>
      <c r="K68" s="309">
        <v>0</v>
      </c>
      <c r="L68" s="309">
        <v>0</v>
      </c>
      <c r="M68" s="309">
        <v>0</v>
      </c>
      <c r="N68" s="309">
        <v>0</v>
      </c>
      <c r="O68" s="309">
        <v>0</v>
      </c>
      <c r="P68" s="310">
        <v>0</v>
      </c>
      <c r="Q68" s="310">
        <v>0</v>
      </c>
    </row>
    <row r="69" spans="1:17" ht="26.25" customHeight="1" x14ac:dyDescent="0.85">
      <c r="A69" s="308"/>
      <c r="B69" s="317" t="s">
        <v>1756</v>
      </c>
      <c r="C69" s="317">
        <v>0</v>
      </c>
      <c r="D69" s="309">
        <v>0</v>
      </c>
      <c r="E69" s="309">
        <v>0</v>
      </c>
      <c r="F69" s="309">
        <v>0</v>
      </c>
      <c r="G69" s="309">
        <v>0</v>
      </c>
      <c r="H69" s="309">
        <v>0</v>
      </c>
      <c r="I69" s="309">
        <v>0</v>
      </c>
      <c r="J69" s="309">
        <v>0</v>
      </c>
      <c r="K69" s="309">
        <v>0</v>
      </c>
      <c r="L69" s="309">
        <v>0</v>
      </c>
      <c r="M69" s="309">
        <v>0</v>
      </c>
      <c r="N69" s="309">
        <v>0</v>
      </c>
      <c r="O69" s="309">
        <v>0</v>
      </c>
      <c r="P69" s="310">
        <v>0</v>
      </c>
      <c r="Q69" s="310">
        <v>0</v>
      </c>
    </row>
    <row r="70" spans="1:17" ht="26.25" customHeight="1" x14ac:dyDescent="0.85">
      <c r="A70" s="305"/>
      <c r="B70" s="316" t="s">
        <v>1757</v>
      </c>
      <c r="C70" s="316">
        <v>0</v>
      </c>
      <c r="D70" s="316">
        <v>0</v>
      </c>
      <c r="E70" s="316">
        <v>0</v>
      </c>
      <c r="F70" s="316">
        <v>0</v>
      </c>
      <c r="G70" s="316">
        <v>0</v>
      </c>
      <c r="H70" s="316">
        <v>0</v>
      </c>
      <c r="I70" s="316">
        <v>0</v>
      </c>
      <c r="J70" s="316">
        <v>0</v>
      </c>
      <c r="K70" s="316">
        <v>0</v>
      </c>
      <c r="L70" s="316"/>
      <c r="M70" s="316"/>
      <c r="N70" s="316"/>
      <c r="O70" s="316"/>
      <c r="P70" s="316"/>
      <c r="Q70" s="316"/>
    </row>
    <row r="71" spans="1:17" ht="26.25" customHeight="1" x14ac:dyDescent="0.85">
      <c r="A71" s="308"/>
      <c r="B71" s="317" t="s">
        <v>1758</v>
      </c>
      <c r="C71" s="317">
        <v>0</v>
      </c>
      <c r="D71" s="309">
        <v>0</v>
      </c>
      <c r="E71" s="309">
        <v>0</v>
      </c>
      <c r="F71" s="309">
        <v>0</v>
      </c>
      <c r="G71" s="309">
        <v>0</v>
      </c>
      <c r="H71" s="309">
        <v>0</v>
      </c>
      <c r="I71" s="309">
        <v>0</v>
      </c>
      <c r="J71" s="309">
        <v>0</v>
      </c>
      <c r="K71" s="309">
        <v>0</v>
      </c>
      <c r="L71" s="309">
        <v>0</v>
      </c>
      <c r="M71" s="309">
        <v>0</v>
      </c>
      <c r="N71" s="309">
        <v>0</v>
      </c>
      <c r="O71" s="309">
        <v>0</v>
      </c>
      <c r="P71" s="310">
        <v>0</v>
      </c>
      <c r="Q71" s="310">
        <v>0</v>
      </c>
    </row>
    <row r="72" spans="1:17" ht="26.25" customHeight="1" x14ac:dyDescent="0.85">
      <c r="A72" s="308"/>
      <c r="B72" s="317" t="s">
        <v>1759</v>
      </c>
      <c r="C72" s="317">
        <v>0</v>
      </c>
      <c r="D72" s="309">
        <v>0</v>
      </c>
      <c r="E72" s="309">
        <v>0</v>
      </c>
      <c r="F72" s="309">
        <v>0</v>
      </c>
      <c r="G72" s="309">
        <v>0</v>
      </c>
      <c r="H72" s="309">
        <v>0</v>
      </c>
      <c r="I72" s="309">
        <v>0</v>
      </c>
      <c r="J72" s="309">
        <v>0</v>
      </c>
      <c r="K72" s="309">
        <v>0</v>
      </c>
      <c r="L72" s="309">
        <v>0</v>
      </c>
      <c r="M72" s="309">
        <v>0</v>
      </c>
      <c r="N72" s="309">
        <v>0</v>
      </c>
      <c r="O72" s="309">
        <v>0</v>
      </c>
      <c r="P72" s="310">
        <v>0</v>
      </c>
      <c r="Q72" s="310">
        <v>0</v>
      </c>
    </row>
    <row r="73" spans="1:17" ht="26.25" customHeight="1" x14ac:dyDescent="0.85">
      <c r="A73" s="308"/>
      <c r="B73" s="317" t="s">
        <v>1760</v>
      </c>
      <c r="C73" s="317">
        <v>0</v>
      </c>
      <c r="D73" s="309">
        <v>0</v>
      </c>
      <c r="E73" s="309">
        <v>0</v>
      </c>
      <c r="F73" s="309">
        <v>0</v>
      </c>
      <c r="G73" s="309">
        <v>0</v>
      </c>
      <c r="H73" s="309">
        <v>0</v>
      </c>
      <c r="I73" s="309">
        <v>0</v>
      </c>
      <c r="J73" s="309">
        <v>0</v>
      </c>
      <c r="K73" s="309">
        <v>0</v>
      </c>
      <c r="L73" s="309">
        <v>0</v>
      </c>
      <c r="M73" s="309">
        <v>0</v>
      </c>
      <c r="N73" s="309">
        <v>0</v>
      </c>
      <c r="O73" s="309">
        <v>0</v>
      </c>
      <c r="P73" s="310">
        <v>0</v>
      </c>
      <c r="Q73" s="310">
        <v>0</v>
      </c>
    </row>
    <row r="74" spans="1:17" ht="26.25" customHeight="1" x14ac:dyDescent="0.85">
      <c r="A74" s="302"/>
      <c r="B74" s="316" t="s">
        <v>1761</v>
      </c>
      <c r="C74" s="316">
        <v>0</v>
      </c>
      <c r="D74" s="316">
        <v>0</v>
      </c>
      <c r="E74" s="316">
        <v>0</v>
      </c>
      <c r="F74" s="316">
        <v>0</v>
      </c>
      <c r="G74" s="316">
        <v>0</v>
      </c>
      <c r="H74" s="316">
        <v>0</v>
      </c>
      <c r="I74" s="316">
        <v>0</v>
      </c>
      <c r="J74" s="316">
        <v>0</v>
      </c>
      <c r="K74" s="316">
        <v>0</v>
      </c>
      <c r="L74" s="316">
        <v>0</v>
      </c>
      <c r="M74" s="316">
        <v>0</v>
      </c>
      <c r="N74" s="316">
        <v>0</v>
      </c>
      <c r="O74" s="316">
        <v>0</v>
      </c>
      <c r="P74" s="316">
        <v>0</v>
      </c>
      <c r="Q74" s="316">
        <v>0</v>
      </c>
    </row>
    <row r="75" spans="1:17" ht="26.25" customHeight="1" x14ac:dyDescent="0.85">
      <c r="A75" s="305"/>
      <c r="B75" s="319" t="s">
        <v>1762</v>
      </c>
      <c r="C75" s="319">
        <v>0</v>
      </c>
      <c r="D75" s="319">
        <v>0</v>
      </c>
      <c r="E75" s="319">
        <v>0</v>
      </c>
      <c r="F75" s="319">
        <v>0</v>
      </c>
      <c r="G75" s="319">
        <v>0</v>
      </c>
      <c r="H75" s="319">
        <v>0</v>
      </c>
      <c r="I75" s="319">
        <v>0</v>
      </c>
      <c r="J75" s="319">
        <v>0</v>
      </c>
      <c r="K75" s="319">
        <v>0</v>
      </c>
      <c r="L75" s="319">
        <v>0</v>
      </c>
      <c r="M75" s="319">
        <v>0</v>
      </c>
      <c r="N75" s="319">
        <v>0</v>
      </c>
      <c r="O75" s="319">
        <v>0</v>
      </c>
      <c r="P75" s="310">
        <v>0</v>
      </c>
      <c r="Q75" s="310">
        <v>0</v>
      </c>
    </row>
    <row r="76" spans="1:17" ht="26.25" customHeight="1" x14ac:dyDescent="0.85">
      <c r="A76" s="308"/>
      <c r="B76" s="319" t="s">
        <v>1763</v>
      </c>
      <c r="C76" s="317">
        <v>0</v>
      </c>
      <c r="D76" s="319">
        <v>0</v>
      </c>
      <c r="E76" s="319">
        <v>0</v>
      </c>
      <c r="F76" s="319">
        <v>0</v>
      </c>
      <c r="G76" s="319">
        <v>0</v>
      </c>
      <c r="H76" s="319">
        <v>0</v>
      </c>
      <c r="I76" s="319">
        <v>0</v>
      </c>
      <c r="J76" s="319">
        <v>0</v>
      </c>
      <c r="K76" s="319">
        <v>0</v>
      </c>
      <c r="L76" s="319">
        <v>0</v>
      </c>
      <c r="M76" s="319">
        <v>0</v>
      </c>
      <c r="N76" s="319">
        <v>0</v>
      </c>
      <c r="O76" s="319">
        <v>0</v>
      </c>
      <c r="P76" s="310">
        <v>0</v>
      </c>
      <c r="Q76" s="310">
        <v>0</v>
      </c>
    </row>
    <row r="77" spans="1:17" ht="26.25" customHeight="1" x14ac:dyDescent="0.85">
      <c r="A77" s="308"/>
      <c r="B77" s="319" t="s">
        <v>1764</v>
      </c>
      <c r="C77" s="317">
        <v>0</v>
      </c>
      <c r="D77" s="319">
        <v>0</v>
      </c>
      <c r="E77" s="319">
        <v>0</v>
      </c>
      <c r="F77" s="319">
        <v>0</v>
      </c>
      <c r="G77" s="319">
        <v>0</v>
      </c>
      <c r="H77" s="319">
        <v>0</v>
      </c>
      <c r="I77" s="319">
        <v>0</v>
      </c>
      <c r="J77" s="319">
        <v>0</v>
      </c>
      <c r="K77" s="319">
        <v>0</v>
      </c>
      <c r="L77" s="319">
        <v>0</v>
      </c>
      <c r="M77" s="319">
        <v>0</v>
      </c>
      <c r="N77" s="319">
        <v>0</v>
      </c>
      <c r="O77" s="319">
        <v>0</v>
      </c>
      <c r="P77" s="310">
        <v>0</v>
      </c>
      <c r="Q77" s="310">
        <v>0</v>
      </c>
    </row>
    <row r="78" spans="1:17" ht="26.25" customHeight="1" x14ac:dyDescent="0.85">
      <c r="A78" s="305"/>
      <c r="B78" s="316" t="s">
        <v>1765</v>
      </c>
      <c r="C78" s="316">
        <v>0</v>
      </c>
      <c r="D78" s="316">
        <v>0</v>
      </c>
      <c r="E78" s="316">
        <v>0</v>
      </c>
      <c r="F78" s="316">
        <v>0</v>
      </c>
      <c r="G78" s="316">
        <v>0</v>
      </c>
      <c r="H78" s="316">
        <v>0</v>
      </c>
      <c r="I78" s="316">
        <v>0</v>
      </c>
      <c r="J78" s="316">
        <v>0</v>
      </c>
      <c r="K78" s="316">
        <v>0</v>
      </c>
      <c r="L78" s="316">
        <v>0</v>
      </c>
      <c r="M78" s="316">
        <v>0</v>
      </c>
      <c r="N78" s="316">
        <v>0</v>
      </c>
      <c r="O78" s="316">
        <v>0</v>
      </c>
      <c r="P78" s="316">
        <v>0</v>
      </c>
      <c r="Q78" s="316">
        <v>0</v>
      </c>
    </row>
    <row r="79" spans="1:17" ht="26.25" customHeight="1" x14ac:dyDescent="0.85">
      <c r="A79" s="308"/>
      <c r="B79" s="317" t="s">
        <v>1766</v>
      </c>
      <c r="C79" s="317">
        <v>0</v>
      </c>
      <c r="D79" s="309">
        <v>0</v>
      </c>
      <c r="E79" s="309">
        <v>0</v>
      </c>
      <c r="F79" s="309">
        <v>0</v>
      </c>
      <c r="G79" s="309">
        <v>0</v>
      </c>
      <c r="H79" s="309">
        <v>0</v>
      </c>
      <c r="I79" s="309">
        <v>0</v>
      </c>
      <c r="J79" s="309">
        <v>0</v>
      </c>
      <c r="K79" s="309">
        <v>0</v>
      </c>
      <c r="L79" s="309">
        <v>0</v>
      </c>
      <c r="M79" s="309">
        <v>0</v>
      </c>
      <c r="N79" s="309">
        <v>0</v>
      </c>
      <c r="O79" s="309">
        <v>0</v>
      </c>
      <c r="P79" s="310">
        <v>0</v>
      </c>
      <c r="Q79" s="310">
        <v>0</v>
      </c>
    </row>
    <row r="80" spans="1:17" ht="26.25" customHeight="1" x14ac:dyDescent="0.85">
      <c r="A80" s="308"/>
      <c r="B80" s="317" t="s">
        <v>1767</v>
      </c>
      <c r="C80" s="317">
        <v>0</v>
      </c>
      <c r="D80" s="309">
        <v>0</v>
      </c>
      <c r="E80" s="309">
        <v>0</v>
      </c>
      <c r="F80" s="309">
        <v>0</v>
      </c>
      <c r="G80" s="309">
        <v>0</v>
      </c>
      <c r="H80" s="309">
        <v>0</v>
      </c>
      <c r="I80" s="309">
        <v>0</v>
      </c>
      <c r="J80" s="309">
        <v>0</v>
      </c>
      <c r="K80" s="309">
        <v>0</v>
      </c>
      <c r="L80" s="309">
        <v>0</v>
      </c>
      <c r="M80" s="309">
        <v>0</v>
      </c>
      <c r="N80" s="309">
        <v>0</v>
      </c>
      <c r="O80" s="309">
        <v>0</v>
      </c>
      <c r="P80" s="310">
        <v>0</v>
      </c>
      <c r="Q80" s="310">
        <v>0</v>
      </c>
    </row>
    <row r="81" spans="1:17" ht="26.25" customHeight="1" x14ac:dyDescent="0.85">
      <c r="A81" s="305"/>
      <c r="B81" s="316" t="s">
        <v>1768</v>
      </c>
      <c r="C81" s="316">
        <v>0</v>
      </c>
      <c r="D81" s="316">
        <v>0</v>
      </c>
      <c r="E81" s="316">
        <v>0</v>
      </c>
      <c r="F81" s="316">
        <v>0</v>
      </c>
      <c r="G81" s="316">
        <v>0</v>
      </c>
      <c r="H81" s="316">
        <v>0</v>
      </c>
      <c r="I81" s="316">
        <v>0</v>
      </c>
      <c r="J81" s="316">
        <v>0</v>
      </c>
      <c r="K81" s="316">
        <v>0</v>
      </c>
      <c r="L81" s="316">
        <v>0</v>
      </c>
      <c r="M81" s="316">
        <v>0</v>
      </c>
      <c r="N81" s="316">
        <v>0</v>
      </c>
      <c r="O81" s="316">
        <v>0</v>
      </c>
      <c r="P81" s="316">
        <v>0</v>
      </c>
      <c r="Q81" s="316">
        <v>0</v>
      </c>
    </row>
    <row r="82" spans="1:17" ht="26.25" customHeight="1" x14ac:dyDescent="0.85">
      <c r="A82" s="308"/>
      <c r="B82" s="317" t="s">
        <v>1769</v>
      </c>
      <c r="C82" s="317">
        <v>0</v>
      </c>
      <c r="D82" s="309">
        <v>0</v>
      </c>
      <c r="E82" s="309">
        <v>0</v>
      </c>
      <c r="F82" s="309">
        <v>0</v>
      </c>
      <c r="G82" s="309">
        <v>0</v>
      </c>
      <c r="H82" s="309">
        <v>0</v>
      </c>
      <c r="I82" s="309">
        <v>0</v>
      </c>
      <c r="J82" s="309">
        <v>0</v>
      </c>
      <c r="K82" s="309">
        <v>0</v>
      </c>
      <c r="L82" s="309">
        <v>0</v>
      </c>
      <c r="M82" s="309">
        <v>0</v>
      </c>
      <c r="N82" s="309">
        <v>0</v>
      </c>
      <c r="O82" s="309">
        <v>0</v>
      </c>
      <c r="P82" s="310">
        <v>0</v>
      </c>
      <c r="Q82" s="310">
        <v>0</v>
      </c>
    </row>
    <row r="83" spans="1:17" s="322" customFormat="1" ht="26.25" customHeight="1" x14ac:dyDescent="0.8">
      <c r="A83" s="320"/>
      <c r="B83" s="321" t="s">
        <v>1770</v>
      </c>
      <c r="C83" s="321">
        <f t="shared" ref="C83:Q83" si="15">+C11+C17+C27+C37+C52</f>
        <v>70594062</v>
      </c>
      <c r="D83" s="321">
        <f t="shared" si="15"/>
        <v>416583047.97000003</v>
      </c>
      <c r="E83" s="321">
        <f t="shared" si="15"/>
        <v>4811653.96</v>
      </c>
      <c r="F83" s="321">
        <f t="shared" si="15"/>
        <v>5120198.4300000006</v>
      </c>
      <c r="G83" s="321">
        <f t="shared" si="15"/>
        <v>42317077.420000009</v>
      </c>
      <c r="H83" s="321">
        <f t="shared" si="15"/>
        <v>9031019.5600000005</v>
      </c>
      <c r="I83" s="321">
        <f t="shared" si="15"/>
        <v>14484104.470000001</v>
      </c>
      <c r="J83" s="321">
        <f t="shared" si="15"/>
        <v>14664174.029999999</v>
      </c>
      <c r="K83" s="321">
        <f t="shared" si="15"/>
        <v>24806784.920000002</v>
      </c>
      <c r="L83" s="321">
        <f t="shared" si="15"/>
        <v>61404704.090000004</v>
      </c>
      <c r="M83" s="321">
        <f t="shared" si="15"/>
        <v>5567746.2300000004</v>
      </c>
      <c r="N83" s="321">
        <f t="shared" si="15"/>
        <v>39855258.910000004</v>
      </c>
      <c r="O83" s="321">
        <f t="shared" si="15"/>
        <v>25981188.459999997</v>
      </c>
      <c r="P83" s="321">
        <f t="shared" si="15"/>
        <v>16881613.690000001</v>
      </c>
      <c r="Q83" s="321">
        <f t="shared" si="15"/>
        <v>264925524.16999999</v>
      </c>
    </row>
    <row r="84" spans="1:17" s="323" customFormat="1" ht="27.75" customHeight="1" x14ac:dyDescent="0.25">
      <c r="B84" s="324" t="s">
        <v>1771</v>
      </c>
      <c r="C84" s="324"/>
      <c r="D84" s="325"/>
      <c r="E84" s="325"/>
      <c r="F84" s="325"/>
      <c r="G84" s="325"/>
      <c r="H84" s="325"/>
      <c r="I84" s="325"/>
      <c r="J84" s="325"/>
      <c r="K84" s="325"/>
      <c r="L84" s="325"/>
      <c r="M84" s="325"/>
      <c r="N84" s="325"/>
      <c r="O84" s="325"/>
      <c r="P84" s="325"/>
      <c r="Q84" s="325"/>
    </row>
    <row r="85" spans="1:17" s="323" customFormat="1" ht="27.75" customHeight="1" x14ac:dyDescent="0.25">
      <c r="B85" s="324" t="s">
        <v>1772</v>
      </c>
      <c r="C85" s="324"/>
      <c r="D85" s="325"/>
      <c r="E85" s="325"/>
      <c r="F85" s="325"/>
      <c r="G85" s="325"/>
      <c r="H85" s="325"/>
      <c r="I85" s="325"/>
      <c r="J85" s="325"/>
      <c r="K85" s="325"/>
      <c r="L85" s="325"/>
      <c r="M85" s="325"/>
      <c r="N85" s="325"/>
      <c r="O85" s="325"/>
      <c r="P85" s="325"/>
      <c r="Q85" s="325"/>
    </row>
    <row r="86" spans="1:17" s="323" customFormat="1" ht="27.75" customHeight="1" x14ac:dyDescent="0.25">
      <c r="B86" s="324" t="s">
        <v>1773</v>
      </c>
      <c r="C86" s="324"/>
      <c r="D86" s="325"/>
      <c r="E86" s="325"/>
      <c r="F86" s="325"/>
      <c r="G86" s="325"/>
      <c r="H86" s="325"/>
      <c r="I86" s="325"/>
      <c r="J86" s="325"/>
      <c r="K86" s="325"/>
      <c r="L86" s="325"/>
      <c r="M86" s="325"/>
      <c r="N86" s="325"/>
      <c r="O86" s="325"/>
      <c r="P86" s="325"/>
      <c r="Q86" s="325"/>
    </row>
    <row r="87" spans="1:17" s="323" customFormat="1" ht="27.75" customHeight="1" x14ac:dyDescent="0.25">
      <c r="B87" s="326"/>
      <c r="C87" s="325"/>
      <c r="D87" s="325"/>
      <c r="E87" s="325"/>
      <c r="F87" s="325"/>
      <c r="G87" s="325"/>
      <c r="H87" s="325"/>
      <c r="I87" s="325"/>
      <c r="J87" s="325"/>
      <c r="K87" s="325"/>
      <c r="L87" s="325"/>
      <c r="M87" s="325"/>
      <c r="N87" s="325"/>
      <c r="O87" s="325"/>
      <c r="P87" s="325"/>
      <c r="Q87" s="325"/>
    </row>
    <row r="88" spans="1:17" s="323" customFormat="1" ht="27.75" customHeight="1" x14ac:dyDescent="0.25">
      <c r="B88" s="327" t="s">
        <v>1774</v>
      </c>
      <c r="C88" s="325"/>
      <c r="D88" s="325"/>
      <c r="E88" s="325"/>
      <c r="F88" s="325"/>
      <c r="G88" s="325"/>
      <c r="H88" s="325"/>
      <c r="I88" s="325"/>
      <c r="J88" s="325"/>
      <c r="K88" s="325"/>
      <c r="L88" s="325"/>
      <c r="M88" s="325"/>
      <c r="N88" s="325"/>
      <c r="O88" s="325"/>
      <c r="P88" s="325"/>
      <c r="Q88" s="325"/>
    </row>
    <row r="89" spans="1:17" s="323" customFormat="1" ht="27.75" customHeight="1" x14ac:dyDescent="0.25">
      <c r="B89" s="327" t="s">
        <v>1775</v>
      </c>
      <c r="C89" s="325"/>
      <c r="D89" s="325"/>
      <c r="E89" s="325"/>
      <c r="F89" s="325"/>
      <c r="G89" s="325"/>
      <c r="H89" s="325"/>
      <c r="I89" s="325"/>
      <c r="J89" s="325"/>
      <c r="K89" s="325"/>
      <c r="L89" s="325"/>
      <c r="M89" s="325"/>
      <c r="N89" s="325"/>
      <c r="O89" s="325"/>
      <c r="P89" s="325"/>
      <c r="Q89" s="325"/>
    </row>
    <row r="90" spans="1:17" s="323" customFormat="1" ht="27.75" customHeight="1" x14ac:dyDescent="0.25">
      <c r="B90" s="327" t="s">
        <v>1776</v>
      </c>
      <c r="C90" s="325"/>
      <c r="D90" s="325"/>
      <c r="E90" s="325"/>
      <c r="F90" s="325"/>
      <c r="G90" s="325"/>
      <c r="H90" s="325"/>
      <c r="I90" s="325"/>
      <c r="J90" s="325"/>
      <c r="K90" s="325"/>
      <c r="L90" s="325"/>
      <c r="M90" s="325"/>
      <c r="N90" s="325"/>
      <c r="O90" s="325"/>
      <c r="P90" s="325"/>
      <c r="Q90" s="325"/>
    </row>
    <row r="91" spans="1:17" s="323" customFormat="1" ht="27.75" customHeight="1" x14ac:dyDescent="0.25">
      <c r="B91" s="292" t="s">
        <v>1777</v>
      </c>
      <c r="C91" s="325"/>
      <c r="D91" s="325"/>
      <c r="E91" s="325"/>
      <c r="F91" s="325"/>
      <c r="G91" s="325"/>
      <c r="H91" s="325"/>
      <c r="I91" s="325"/>
      <c r="J91" s="325"/>
      <c r="K91" s="325"/>
      <c r="L91" s="325"/>
      <c r="M91" s="325"/>
      <c r="N91" s="325"/>
      <c r="O91" s="325"/>
      <c r="P91" s="325"/>
      <c r="Q91" s="325"/>
    </row>
    <row r="92" spans="1:17" s="323" customFormat="1" ht="27.75" customHeight="1" x14ac:dyDescent="0.25">
      <c r="B92" s="292" t="s">
        <v>1778</v>
      </c>
      <c r="C92" s="325"/>
      <c r="D92" s="325"/>
      <c r="E92" s="325"/>
      <c r="F92" s="325"/>
      <c r="G92" s="325"/>
      <c r="H92" s="325"/>
      <c r="I92" s="325"/>
      <c r="J92" s="325"/>
      <c r="K92" s="325"/>
      <c r="L92" s="325"/>
      <c r="M92" s="325"/>
      <c r="N92" s="325"/>
      <c r="O92" s="325"/>
      <c r="P92" s="325"/>
      <c r="Q92" s="325"/>
    </row>
    <row r="93" spans="1:17" s="323" customFormat="1" ht="27.75" customHeight="1" x14ac:dyDescent="0.25">
      <c r="B93" s="292" t="s">
        <v>1779</v>
      </c>
      <c r="C93" s="325"/>
      <c r="D93" s="325"/>
      <c r="E93" s="325"/>
      <c r="F93" s="325"/>
      <c r="G93" s="325"/>
      <c r="H93" s="325"/>
      <c r="I93" s="325"/>
      <c r="J93" s="325"/>
      <c r="K93" s="325"/>
      <c r="L93" s="325"/>
      <c r="M93" s="325"/>
      <c r="N93" s="325"/>
      <c r="O93" s="325"/>
      <c r="P93" s="325"/>
      <c r="Q93" s="325"/>
    </row>
    <row r="94" spans="1:17" s="323" customFormat="1" ht="27.75" customHeight="1" x14ac:dyDescent="0.25">
      <c r="B94" s="292" t="s">
        <v>1780</v>
      </c>
      <c r="C94" s="325"/>
      <c r="D94" s="325"/>
      <c r="E94" s="325"/>
      <c r="F94" s="325"/>
      <c r="G94" s="325"/>
      <c r="H94" s="325"/>
      <c r="I94" s="325"/>
      <c r="J94" s="325"/>
      <c r="K94" s="325"/>
      <c r="L94" s="325"/>
      <c r="M94" s="325"/>
      <c r="N94" s="325"/>
      <c r="O94" s="325"/>
      <c r="P94" s="325"/>
      <c r="Q94" s="325"/>
    </row>
    <row r="95" spans="1:17" s="323" customFormat="1" ht="27.75" customHeight="1" x14ac:dyDescent="0.25">
      <c r="B95" s="292" t="s">
        <v>1781</v>
      </c>
      <c r="C95" s="325"/>
      <c r="D95" s="325"/>
      <c r="E95" s="325"/>
      <c r="F95" s="325"/>
      <c r="G95" s="325"/>
      <c r="H95" s="325"/>
      <c r="I95" s="325"/>
      <c r="J95" s="325"/>
      <c r="K95" s="325"/>
      <c r="L95" s="325"/>
      <c r="M95" s="325"/>
      <c r="N95" s="325"/>
      <c r="O95" s="325"/>
      <c r="P95" s="325"/>
      <c r="Q95" s="325"/>
    </row>
    <row r="96" spans="1:17" s="323" customFormat="1" ht="27.75" customHeight="1" x14ac:dyDescent="0.25">
      <c r="B96" s="292" t="s">
        <v>1782</v>
      </c>
      <c r="C96" s="325"/>
      <c r="D96" s="325"/>
      <c r="E96" s="325"/>
      <c r="F96" s="325"/>
      <c r="G96" s="325"/>
      <c r="H96" s="325"/>
      <c r="I96" s="325"/>
      <c r="J96" s="325"/>
      <c r="K96" s="325"/>
      <c r="L96" s="325"/>
      <c r="M96" s="325"/>
      <c r="N96" s="325"/>
      <c r="O96" s="325"/>
      <c r="P96" s="325"/>
      <c r="Q96" s="325"/>
    </row>
    <row r="97" spans="2:17" s="323" customFormat="1" ht="27.75" customHeight="1" x14ac:dyDescent="0.25">
      <c r="B97" s="328"/>
      <c r="C97" s="325"/>
      <c r="D97" s="325"/>
      <c r="E97" s="325"/>
      <c r="F97" s="325"/>
      <c r="G97" s="325"/>
      <c r="H97" s="325"/>
      <c r="I97" s="325"/>
      <c r="J97" s="325"/>
      <c r="K97" s="325"/>
      <c r="L97" s="325"/>
      <c r="M97" s="325"/>
      <c r="N97" s="325"/>
      <c r="O97" s="325"/>
      <c r="P97" s="325"/>
      <c r="Q97" s="325"/>
    </row>
    <row r="98" spans="2:17" s="292" customFormat="1" ht="27.75" customHeight="1" x14ac:dyDescent="0.25">
      <c r="D98" s="329"/>
      <c r="E98" s="329"/>
      <c r="F98" s="330"/>
      <c r="G98" s="330"/>
      <c r="H98" s="330"/>
      <c r="I98" s="330"/>
      <c r="J98" s="330"/>
    </row>
    <row r="99" spans="2:17" s="292" customFormat="1" ht="27.75" customHeight="1" x14ac:dyDescent="0.25">
      <c r="B99" s="331" t="s">
        <v>1783</v>
      </c>
      <c r="D99" s="332"/>
      <c r="E99" s="326"/>
      <c r="G99" s="333" t="s">
        <v>1784</v>
      </c>
      <c r="H99" s="333"/>
      <c r="I99" s="333"/>
    </row>
    <row r="100" spans="2:17" s="292" customFormat="1" ht="27.75" customHeight="1" x14ac:dyDescent="0.25">
      <c r="B100" s="334"/>
      <c r="D100" s="332"/>
      <c r="E100" s="326"/>
      <c r="G100" s="335"/>
      <c r="H100" s="335"/>
      <c r="I100" s="335"/>
    </row>
    <row r="101" spans="2:17" s="292" customFormat="1" ht="27.75" customHeight="1" x14ac:dyDescent="0.25">
      <c r="B101" s="336"/>
      <c r="D101" s="326"/>
      <c r="E101" s="326"/>
      <c r="G101" s="337"/>
      <c r="H101" s="337"/>
      <c r="I101" s="337"/>
    </row>
    <row r="102" spans="2:17" s="292" customFormat="1" ht="27.75" customHeight="1" x14ac:dyDescent="0.25">
      <c r="B102" s="338" t="s">
        <v>1785</v>
      </c>
      <c r="D102" s="339"/>
      <c r="E102" s="339"/>
      <c r="G102" s="340" t="s">
        <v>1786</v>
      </c>
      <c r="H102" s="340"/>
      <c r="I102" s="340"/>
    </row>
    <row r="103" spans="2:17" s="292" customFormat="1" ht="27.75" customHeight="1" x14ac:dyDescent="0.25">
      <c r="B103" s="331" t="s">
        <v>1787</v>
      </c>
      <c r="D103" s="341"/>
      <c r="E103" s="326"/>
      <c r="G103" s="342" t="s">
        <v>1788</v>
      </c>
      <c r="H103" s="342"/>
      <c r="I103" s="342"/>
    </row>
  </sheetData>
  <mergeCells count="17">
    <mergeCell ref="G99:I99"/>
    <mergeCell ref="G100:I101"/>
    <mergeCell ref="G102:I102"/>
    <mergeCell ref="G103:I103"/>
    <mergeCell ref="A6:N6"/>
    <mergeCell ref="O6:P6"/>
    <mergeCell ref="A8:A9"/>
    <mergeCell ref="B8:B9"/>
    <mergeCell ref="C8:C9"/>
    <mergeCell ref="D8:D9"/>
    <mergeCell ref="E8:Q8"/>
    <mergeCell ref="A2:N2"/>
    <mergeCell ref="A3:N3"/>
    <mergeCell ref="A4:N4"/>
    <mergeCell ref="O4:P4"/>
    <mergeCell ref="A5:N5"/>
    <mergeCell ref="O5:P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Notas 1-6 Historia</vt:lpstr>
      <vt:lpstr>Notas del 7-18</vt:lpstr>
      <vt:lpstr>Inventario Materiales</vt:lpstr>
      <vt:lpstr>Activos Fijos</vt:lpstr>
      <vt:lpstr>Ejecucion Presupuestaria</vt:lpstr>
    </vt:vector>
  </TitlesOfParts>
  <Company>IGN-JJHM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Evelin Castro</dc:creator>
  <cp:lastModifiedBy>Brenda Matos</cp:lastModifiedBy>
  <cp:lastPrinted>2024-01-25T13:19:11Z</cp:lastPrinted>
  <dcterms:created xsi:type="dcterms:W3CDTF">2024-01-25T13:18:42Z</dcterms:created>
  <dcterms:modified xsi:type="dcterms:W3CDTF">2024-01-25T16:33:52Z</dcterms:modified>
</cp:coreProperties>
</file>