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c.ruiz.IGN\Desktop\Excell transparencia\"/>
    </mc:Choice>
  </mc:AlternateContent>
  <xr:revisionPtr revIDLastSave="0" documentId="13_ncr:1_{C1A6D5CA-ACCC-46EA-9951-DD498B8D44F1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Nomina Fijo" sheetId="5" r:id="rId1"/>
    <sheet name="Nomina Contratado   " sheetId="12" r:id="rId2"/>
    <sheet name="Nomina Periodo Probatorio " sheetId="13" r:id="rId3"/>
  </sheets>
  <definedNames>
    <definedName name="_xlnm.Print_Area" localSheetId="1">'Nomina Contratado   '!$A$1:$Q$40</definedName>
    <definedName name="_xlnm.Print_Area" localSheetId="0">'Nomina Fijo'!$A$1:$O$66</definedName>
    <definedName name="_xlnm.Print_Area" localSheetId="2">'Nomina Periodo Probatorio '!$A$1:$O$25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3" l="1"/>
  <c r="M11" i="13"/>
  <c r="L11" i="13"/>
  <c r="K11" i="13"/>
  <c r="J11" i="13"/>
  <c r="H11" i="13"/>
  <c r="O11" i="13" s="1"/>
  <c r="P25" i="12"/>
  <c r="O25" i="12"/>
  <c r="N25" i="12"/>
  <c r="M25" i="12"/>
  <c r="L25" i="12"/>
  <c r="J25" i="12"/>
  <c r="Q25" i="12" s="1"/>
  <c r="P24" i="12"/>
  <c r="O24" i="12"/>
  <c r="N24" i="12"/>
  <c r="M24" i="12"/>
  <c r="L24" i="12"/>
  <c r="J24" i="12"/>
  <c r="Q24" i="12" s="1"/>
  <c r="P22" i="12"/>
  <c r="O22" i="12"/>
  <c r="N22" i="12"/>
  <c r="M22" i="12"/>
  <c r="L22" i="12"/>
  <c r="J22" i="12"/>
  <c r="Q22" i="12" s="1"/>
  <c r="P21" i="12"/>
  <c r="O21" i="12"/>
  <c r="N21" i="12"/>
  <c r="M21" i="12"/>
  <c r="L21" i="12"/>
  <c r="J21" i="12"/>
  <c r="Q21" i="12" s="1"/>
  <c r="P19" i="12"/>
  <c r="O19" i="12"/>
  <c r="N19" i="12"/>
  <c r="M19" i="12"/>
  <c r="L19" i="12"/>
  <c r="J19" i="12" s="1"/>
  <c r="Q19" i="12" s="1"/>
  <c r="P17" i="12"/>
  <c r="O17" i="12"/>
  <c r="N17" i="12"/>
  <c r="M17" i="12"/>
  <c r="L17" i="12"/>
  <c r="J17" i="12"/>
  <c r="Q17" i="12" s="1"/>
  <c r="P16" i="12"/>
  <c r="O16" i="12"/>
  <c r="N16" i="12"/>
  <c r="M16" i="12"/>
  <c r="L16" i="12"/>
  <c r="J16" i="12"/>
  <c r="Q16" i="12" s="1"/>
  <c r="P14" i="12"/>
  <c r="O14" i="12"/>
  <c r="N14" i="12"/>
  <c r="M14" i="12"/>
  <c r="L14" i="12"/>
  <c r="J14" i="12"/>
  <c r="Q14" i="12" s="1"/>
  <c r="P13" i="12"/>
  <c r="O13" i="12"/>
  <c r="N13" i="12"/>
  <c r="M13" i="12"/>
  <c r="L13" i="12"/>
  <c r="J13" i="12"/>
  <c r="Q13" i="12" s="1"/>
  <c r="P12" i="12"/>
  <c r="O12" i="12"/>
  <c r="N12" i="12"/>
  <c r="M12" i="12"/>
  <c r="L12" i="12"/>
  <c r="J12" i="12"/>
  <c r="Q12" i="12" s="1"/>
  <c r="P11" i="12"/>
  <c r="O11" i="12"/>
  <c r="N11" i="12"/>
  <c r="M11" i="12"/>
  <c r="L11" i="12"/>
  <c r="J11" i="12" s="1"/>
  <c r="Q11" i="12" s="1"/>
  <c r="N52" i="5"/>
  <c r="M52" i="5"/>
  <c r="L52" i="5"/>
  <c r="K52" i="5"/>
  <c r="J52" i="5"/>
  <c r="H52" i="5"/>
  <c r="O52" i="5" s="1"/>
  <c r="N50" i="5"/>
  <c r="M50" i="5"/>
  <c r="L50" i="5"/>
  <c r="K50" i="5"/>
  <c r="J50" i="5"/>
  <c r="H50" i="5" s="1"/>
  <c r="O50" i="5" s="1"/>
  <c r="N48" i="5"/>
  <c r="M48" i="5"/>
  <c r="L48" i="5"/>
  <c r="K48" i="5"/>
  <c r="J48" i="5"/>
  <c r="H48" i="5"/>
  <c r="O48" i="5" s="1"/>
  <c r="N47" i="5"/>
  <c r="M47" i="5"/>
  <c r="L47" i="5"/>
  <c r="K47" i="5"/>
  <c r="J47" i="5"/>
  <c r="H47" i="5"/>
  <c r="O47" i="5" s="1"/>
  <c r="N40" i="5"/>
  <c r="M40" i="5"/>
  <c r="L40" i="5"/>
  <c r="K40" i="5"/>
  <c r="H40" i="5" s="1"/>
  <c r="O40" i="5" s="1"/>
  <c r="J40" i="5"/>
  <c r="N39" i="5"/>
  <c r="M39" i="5"/>
  <c r="L39" i="5"/>
  <c r="K39" i="5"/>
  <c r="H39" i="5" s="1"/>
  <c r="O39" i="5" s="1"/>
  <c r="J39" i="5"/>
  <c r="N38" i="5"/>
  <c r="M38" i="5"/>
  <c r="L38" i="5"/>
  <c r="K38" i="5"/>
  <c r="J38" i="5"/>
  <c r="N37" i="5"/>
  <c r="M37" i="5"/>
  <c r="L37" i="5"/>
  <c r="K37" i="5"/>
  <c r="J37" i="5"/>
  <c r="N36" i="5"/>
  <c r="M36" i="5"/>
  <c r="L36" i="5"/>
  <c r="K36" i="5"/>
  <c r="J36" i="5"/>
  <c r="H36" i="5" s="1"/>
  <c r="N35" i="5"/>
  <c r="M35" i="5"/>
  <c r="L35" i="5"/>
  <c r="K35" i="5"/>
  <c r="J35" i="5"/>
  <c r="H35" i="5" s="1"/>
  <c r="N34" i="5"/>
  <c r="M34" i="5"/>
  <c r="L34" i="5"/>
  <c r="K34" i="5"/>
  <c r="J34" i="5"/>
  <c r="H34" i="5"/>
  <c r="O34" i="5" s="1"/>
  <c r="N33" i="5"/>
  <c r="M33" i="5"/>
  <c r="L33" i="5"/>
  <c r="K33" i="5"/>
  <c r="J33" i="5"/>
  <c r="H33" i="5"/>
  <c r="O33" i="5" s="1"/>
  <c r="N31" i="5"/>
  <c r="M31" i="5"/>
  <c r="L31" i="5"/>
  <c r="K31" i="5"/>
  <c r="J31" i="5"/>
  <c r="N30" i="5"/>
  <c r="M30" i="5"/>
  <c r="L30" i="5"/>
  <c r="K30" i="5"/>
  <c r="J30" i="5"/>
  <c r="H30" i="5" s="1"/>
  <c r="O30" i="5" s="1"/>
  <c r="N29" i="5"/>
  <c r="M29" i="5"/>
  <c r="L29" i="5"/>
  <c r="K29" i="5"/>
  <c r="H29" i="5" s="1"/>
  <c r="O29" i="5" s="1"/>
  <c r="J29" i="5"/>
  <c r="N27" i="5"/>
  <c r="M27" i="5"/>
  <c r="L27" i="5"/>
  <c r="K27" i="5"/>
  <c r="J27" i="5"/>
  <c r="N26" i="5"/>
  <c r="M26" i="5"/>
  <c r="L26" i="5"/>
  <c r="K26" i="5"/>
  <c r="J26" i="5"/>
  <c r="N25" i="5"/>
  <c r="M25" i="5"/>
  <c r="L25" i="5"/>
  <c r="K25" i="5"/>
  <c r="J25" i="5"/>
  <c r="H25" i="5" s="1"/>
  <c r="N23" i="5"/>
  <c r="M23" i="5"/>
  <c r="L23" i="5"/>
  <c r="K23" i="5"/>
  <c r="J23" i="5"/>
  <c r="H23" i="5"/>
  <c r="O23" i="5" s="1"/>
  <c r="N22" i="5"/>
  <c r="M22" i="5"/>
  <c r="L22" i="5"/>
  <c r="K22" i="5"/>
  <c r="J22" i="5"/>
  <c r="H22" i="5"/>
  <c r="O22" i="5" s="1"/>
  <c r="N21" i="5"/>
  <c r="M21" i="5"/>
  <c r="L21" i="5"/>
  <c r="K21" i="5"/>
  <c r="J21" i="5"/>
  <c r="H21" i="5"/>
  <c r="O21" i="5" s="1"/>
  <c r="N20" i="5"/>
  <c r="M20" i="5"/>
  <c r="L20" i="5"/>
  <c r="K20" i="5"/>
  <c r="J20" i="5"/>
  <c r="H20" i="5"/>
  <c r="O20" i="5" s="1"/>
  <c r="N19" i="5"/>
  <c r="M19" i="5"/>
  <c r="L19" i="5"/>
  <c r="K19" i="5"/>
  <c r="J19" i="5"/>
  <c r="H19" i="5" s="1"/>
  <c r="N18" i="5"/>
  <c r="M18" i="5"/>
  <c r="L18" i="5"/>
  <c r="K18" i="5"/>
  <c r="J18" i="5"/>
  <c r="N16" i="5"/>
  <c r="M16" i="5"/>
  <c r="L16" i="5"/>
  <c r="K16" i="5"/>
  <c r="J16" i="5"/>
  <c r="H16" i="5"/>
  <c r="O16" i="5" s="1"/>
  <c r="N14" i="5"/>
  <c r="M14" i="5"/>
  <c r="L14" i="5"/>
  <c r="K14" i="5"/>
  <c r="J14" i="5"/>
  <c r="H14" i="5" s="1"/>
  <c r="O14" i="5" s="1"/>
  <c r="N13" i="5"/>
  <c r="M13" i="5"/>
  <c r="L13" i="5"/>
  <c r="K13" i="5"/>
  <c r="J13" i="5"/>
  <c r="N12" i="5"/>
  <c r="M12" i="5"/>
  <c r="L12" i="5"/>
  <c r="K12" i="5"/>
  <c r="H12" i="5" s="1"/>
  <c r="O12" i="5" s="1"/>
  <c r="J12" i="5"/>
  <c r="N11" i="5"/>
  <c r="M11" i="5"/>
  <c r="L11" i="5"/>
  <c r="K11" i="5"/>
  <c r="J11" i="5"/>
  <c r="H11" i="5" s="1"/>
  <c r="O11" i="5" s="1"/>
  <c r="H27" i="5" l="1"/>
  <c r="O27" i="5" s="1"/>
  <c r="H38" i="5"/>
  <c r="O38" i="5" s="1"/>
  <c r="O25" i="5"/>
  <c r="H31" i="5"/>
  <c r="O36" i="5"/>
  <c r="O35" i="5"/>
  <c r="H37" i="5"/>
  <c r="O37" i="5" s="1"/>
  <c r="O31" i="5"/>
  <c r="H26" i="5"/>
  <c r="O26" i="5" s="1"/>
  <c r="O19" i="5"/>
  <c r="H18" i="5"/>
  <c r="O18" i="5" s="1"/>
  <c r="F2" i="13"/>
  <c r="I12" i="13" l="1"/>
  <c r="G13" i="13" l="1"/>
  <c r="G12" i="13"/>
  <c r="I26" i="12" l="1"/>
  <c r="G53" i="5"/>
  <c r="I53" i="5"/>
  <c r="N46" i="5"/>
  <c r="M46" i="5"/>
  <c r="N45" i="5"/>
  <c r="M45" i="5"/>
  <c r="N44" i="5"/>
  <c r="M44" i="5"/>
  <c r="N43" i="5"/>
  <c r="M43" i="5"/>
  <c r="N42" i="5"/>
  <c r="M42" i="5"/>
  <c r="L46" i="5"/>
  <c r="K46" i="5"/>
  <c r="L45" i="5"/>
  <c r="K45" i="5"/>
  <c r="L44" i="5"/>
  <c r="K44" i="5"/>
  <c r="L43" i="5"/>
  <c r="K43" i="5"/>
  <c r="L42" i="5"/>
  <c r="K42" i="5"/>
  <c r="J46" i="5"/>
  <c r="J45" i="5"/>
  <c r="J44" i="5"/>
  <c r="J43" i="5"/>
  <c r="J42" i="5"/>
  <c r="K26" i="12"/>
  <c r="P26" i="12"/>
  <c r="M26" i="12"/>
  <c r="N12" i="13"/>
  <c r="M12" i="13"/>
  <c r="L12" i="13"/>
  <c r="K12" i="13"/>
  <c r="J12" i="13"/>
  <c r="E16" i="13" l="1"/>
  <c r="L26" i="12"/>
  <c r="N26" i="12"/>
  <c r="O26" i="12"/>
  <c r="J53" i="5"/>
  <c r="L53" i="5"/>
  <c r="K53" i="5"/>
  <c r="N53" i="5"/>
  <c r="M53" i="5"/>
  <c r="F56" i="5" l="1"/>
  <c r="A7" i="13"/>
  <c r="H12" i="13" l="1"/>
  <c r="O12" i="13" l="1"/>
  <c r="H46" i="5" l="1"/>
  <c r="O46" i="5" s="1"/>
  <c r="Q26" i="12" l="1"/>
  <c r="J26" i="12"/>
  <c r="H44" i="5"/>
  <c r="O44" i="5" s="1"/>
  <c r="H45" i="5"/>
  <c r="O45" i="5" s="1"/>
  <c r="H43" i="5"/>
  <c r="O43" i="5" s="1"/>
  <c r="E30" i="12" l="1"/>
  <c r="H42" i="5" l="1"/>
  <c r="O42" i="5" s="1"/>
  <c r="H53" i="5" l="1"/>
  <c r="O53" i="5"/>
</calcChain>
</file>

<file path=xl/sharedStrings.xml><?xml version="1.0" encoding="utf-8"?>
<sst xmlns="http://schemas.openxmlformats.org/spreadsheetml/2006/main" count="330" uniqueCount="162">
  <si>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</si>
  <si>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</si>
  <si>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</si>
  <si>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</si>
  <si>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</si>
  <si>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</si>
  <si>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</si>
  <si>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</si>
  <si>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</si>
  <si>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</si>
  <si>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</si>
  <si>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</si>
  <si>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</si>
  <si>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</si>
  <si>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</si>
  <si>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</si>
  <si>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</si>
  <si>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</si>
  <si>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Director Nacional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</si>
  <si>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</si>
  <si>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</si>
  <si>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</si>
  <si>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</si>
  <si>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</si>
  <si>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</si>
  <si>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</si>
  <si>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</si>
  <si>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Maria Antonia Cabrera Sánchez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</si>
  <si>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</si>
  <si>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</si>
  <si>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</si>
  <si>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</si>
  <si>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</si>
  <si>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</si>
  <si>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</si>
  <si>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</si>
  <si>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</si>
  <si>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</si>
  <si>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</si>
  <si>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</si>
  <si>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</si>
  <si>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</si>
  <si>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</si>
  <si>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</si>
  <si>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 xml:space="preserve">NOMINA DE PAGO DEL PERSONAL CONTRATADO </t>
  </si>
  <si>
    <t>ESTATUS</t>
  </si>
  <si>
    <t>FECHA INGRESO</t>
  </si>
  <si>
    <t>FECHA TERMINO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</si>
  <si>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</si>
  <si>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</si>
  <si>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</si>
  <si>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</si>
  <si>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</si>
  <si>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</si>
  <si>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</si>
  <si>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</si>
  <si>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</si>
  <si>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</si>
  <si>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</si>
  <si>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</si>
  <si>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</si>
  <si>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</si>
  <si>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</si>
  <si>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</si>
  <si>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</si>
  <si>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</si>
  <si>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</si>
  <si>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</si>
  <si>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</si>
  <si>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</si>
  <si>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</si>
  <si>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</si>
  <si>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</si>
  <si>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</si>
  <si>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</si>
  <si>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</si>
  <si>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</si>
  <si>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</si>
  <si>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</si>
  <si>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</si>
  <si>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</si>
  <si>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</si>
  <si>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</si>
  <si>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</si>
  <si>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</si>
  <si>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</si>
  <si>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</si>
  <si>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</si>
  <si>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>NOMBRE</t>
  </si>
  <si>
    <t>Paola Reyes Castillo</t>
  </si>
  <si>
    <t>DEPARTAMENTO</t>
  </si>
  <si>
    <t>Ana Antonia Lorenzo</t>
  </si>
  <si>
    <t>Tecnico de Contabilidad</t>
  </si>
  <si>
    <t xml:space="preserve">Priscilla Pamela Vargas Serulle </t>
  </si>
  <si>
    <t xml:space="preserve">Tecnico de Desarrollo Organizacional </t>
  </si>
  <si>
    <t xml:space="preserve">Contratado </t>
  </si>
  <si>
    <t xml:space="preserve">Bolivar Matias Troncosos Morales </t>
  </si>
  <si>
    <t xml:space="preserve">Maria Lajara de Ruiz 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</si>
  <si>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</si>
  <si>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</si>
  <si>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</si>
  <si>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</si>
  <si>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</si>
  <si>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</si>
  <si>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</si>
  <si>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</si>
  <si>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>Ericden Estrella Genao</t>
  </si>
  <si>
    <t xml:space="preserve">Encargado de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</si>
  <si>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</si>
  <si>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</si>
  <si>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</si>
  <si>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</si>
  <si>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</si>
  <si>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</si>
  <si>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</si>
  <si>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</si>
  <si>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</si>
  <si>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</si>
  <si>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</si>
  <si>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</si>
  <si>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</si>
  <si>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</si>
  <si>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</si>
  <si>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</si>
  <si>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</si>
  <si>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</si>
  <si>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</si>
  <si>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>M</t>
  </si>
  <si>
    <t>F</t>
  </si>
  <si>
    <t xml:space="preserve">Departamento de Recursos Humanos </t>
  </si>
  <si>
    <t>Daily Mariela Gomez Mancebo</t>
  </si>
  <si>
    <t>Bolivar Matias Troncoso Morales</t>
  </si>
  <si>
    <t>Departamento Administrativo Financiero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</si>
  <si>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</si>
  <si>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</si>
  <si>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</si>
  <si>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</si>
  <si>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</si>
  <si>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>Topografía y Geodesia</t>
  </si>
  <si>
    <t>Nolan Ricky Durán Quintana</t>
  </si>
  <si>
    <t>ISR</t>
  </si>
  <si>
    <t>GENERO</t>
  </si>
  <si>
    <t xml:space="preserve">Seccion de Servicios Generales </t>
  </si>
  <si>
    <t>Division de Tecnologia de la Informacion y Comunicaciones</t>
  </si>
  <si>
    <t xml:space="preserve">Geodesia </t>
  </si>
  <si>
    <t>Cartografía</t>
  </si>
  <si>
    <t>Direccion de Cartografía</t>
  </si>
  <si>
    <t>SUELDO</t>
  </si>
  <si>
    <t>Departamento Admnistrativo Financiero</t>
  </si>
  <si>
    <t xml:space="preserve">Carrera </t>
  </si>
  <si>
    <t>Compras y Contrataciones</t>
  </si>
  <si>
    <t xml:space="preserve"> Recursos Humanos</t>
  </si>
  <si>
    <t xml:space="preserve"> Recursos Humanos </t>
  </si>
  <si>
    <t xml:space="preserve"> Planificación y Desarrollo</t>
  </si>
  <si>
    <t xml:space="preserve">Jose Leandro Santos </t>
  </si>
  <si>
    <t xml:space="preserve">Enc. Geodesia </t>
  </si>
  <si>
    <t xml:space="preserve">Departamento de Tecnologia </t>
  </si>
  <si>
    <t>Mes: Agosto 2021</t>
  </si>
  <si>
    <t xml:space="preserve">Departamento de Geodesia  </t>
  </si>
  <si>
    <t xml:space="preserve">Direccion de Cartografía </t>
  </si>
  <si>
    <t xml:space="preserve">Direccion de Geografía </t>
  </si>
  <si>
    <t xml:space="preserve">Departamento de Planificación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</si>
</sst>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14" fontId="4" fillId="0" borderId="3" xfId="0" applyNumberFormat="1" applyFont="1" applyBorder="1" applyAlignment="1">
      <alignment horizontal="center"/>
    </xf>
    <xf numFmtId="43" fontId="2" fillId="0" borderId="3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/>
    </xf>
    <xf numFmtId="0" fontId="2" fillId="4" borderId="21" xfId="0" applyFont="1" applyFill="1" applyBorder="1" applyAlignment="1"/>
    <xf numFmtId="43" fontId="2" fillId="0" borderId="13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14" fontId="2" fillId="0" borderId="21" xfId="0" applyNumberFormat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7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43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2" fillId="0" borderId="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14" fontId="2" fillId="4" borderId="4" xfId="0" applyNumberFormat="1" applyFont="1" applyFill="1" applyBorder="1" applyAlignment="1">
      <alignment horizontal="center" vertical="top"/>
    </xf>
    <xf numFmtId="43" fontId="2" fillId="0" borderId="4" xfId="1" applyFont="1" applyFill="1" applyBorder="1" applyAlignment="1">
      <alignment horizontal="center" vertical="top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4" fontId="2" fillId="0" borderId="21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43" fontId="2" fillId="0" borderId="16" xfId="1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6" xfId="1" applyFont="1" applyFill="1" applyBorder="1" applyAlignment="1">
      <alignment horizontal="center"/>
    </xf>
    <xf numFmtId="43" fontId="2" fillId="0" borderId="27" xfId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3" fontId="4" fillId="0" borderId="12" xfId="1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43" fontId="2" fillId="0" borderId="11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34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/>
    <xf numFmtId="0" fontId="4" fillId="0" borderId="0" xfId="0" applyFont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3" fontId="2" fillId="0" borderId="6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3679826</xdr:colOff>
      <xdr:row>0</xdr:row>
      <xdr:rowOff>127000</xdr:rowOff>
    </xdr:from>
    <xdr:to>
      <xdr:col>6</xdr:col>
      <xdr:colOff>1509488</xdr:colOff>
      <xdr:row>4</xdr:row>
      <xdr:rowOff>223339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2005" y="127000"/>
          <a:ext cx="3122840" cy="10760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312964</xdr:colOff>
      <xdr:row>54</xdr:row>
      <xdr:rowOff>95248</xdr:rowOff>
    </xdr:from>
    <xdr:to>
      <xdr:col>10</xdr:col>
      <xdr:colOff>1245464</xdr:colOff>
      <xdr:row>64</xdr:row>
      <xdr:rowOff>186373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86C429-5C3E-486D-B95F-D4C7AA9CF3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05714" y="13874748"/>
          <a:ext cx="2520000" cy="25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1459364</xdr:colOff>
      <xdr:row>28</xdr:row>
      <xdr:rowOff>35718</xdr:rowOff>
    </xdr:from>
    <xdr:to>
      <xdr:col>11</xdr:col>
      <xdr:colOff>836115</xdr:colOff>
      <xdr:row>38</xdr:row>
      <xdr:rowOff>133648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31BB40F-842B-4ED9-A5AA-C5C2AEF04A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87543" y="7614897"/>
          <a:ext cx="2533608" cy="2547215"/>
        </a:xfrm>
        <a:prstGeom prst="rect">
          <a:avLst/>
        </a:prstGeom>
      </xdr:spPr>
    </xdr:pic>
    <xdr:clientData/>
  </xdr:twoCellAnchor>
  <xdr:twoCellAnchor editAs="oneCell">
    <xdr:from>
      <xdr:col>6</xdr:col>
      <xdr:colOff>99781</xdr:colOff>
      <xdr:row>0</xdr:row>
      <xdr:rowOff>127000</xdr:rowOff>
    </xdr:from>
    <xdr:to>
      <xdr:col>8</xdr:col>
      <xdr:colOff>97514</xdr:colOff>
      <xdr:row>4</xdr:row>
      <xdr:rowOff>223339</xdr:rowOff>
    </xdr:to>
    <xdr:pic>
      <xdr:nvPicPr>
        <xdr:cNvPr id="7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DB90B1C-F4AD-48BC-9B3E-832A0E93282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2674" y="127000"/>
          <a:ext cx="3154590" cy="1076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1282473</xdr:colOff>
      <xdr:row>14</xdr:row>
      <xdr:rowOff>35720</xdr:rowOff>
    </xdr:from>
    <xdr:to>
      <xdr:col>11</xdr:col>
      <xdr:colOff>652420</xdr:colOff>
      <xdr:row>24</xdr:row>
      <xdr:rowOff>133649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7D291E-2CC3-4ABA-8C0C-4F119A66C3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10652" y="4022613"/>
          <a:ext cx="2526804" cy="2547215"/>
        </a:xfrm>
        <a:prstGeom prst="rect">
          <a:avLst/>
        </a:prstGeom>
      </xdr:spPr>
    </xdr:pic>
    <xdr:clientData/>
  </xdr:twoCellAnchor>
  <xdr:twoCellAnchor editAs="oneCell">
    <xdr:from>
      <xdr:col>5</xdr:col>
      <xdr:colOff>140599</xdr:colOff>
      <xdr:row>0</xdr:row>
      <xdr:rowOff>111125</xdr:rowOff>
    </xdr:from>
    <xdr:to>
      <xdr:col>7</xdr:col>
      <xdr:colOff>122457</xdr:colOff>
      <xdr:row>4</xdr:row>
      <xdr:rowOff>207464</xdr:rowOff>
    </xdr:to>
    <xdr:pic>
      <xdr:nvPicPr>
        <xdr:cNvPr id="7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6D7A4DE9-6DE5-4DFA-8799-5DAA589A15C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5063" y="111125"/>
          <a:ext cx="3138715" cy="1076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73"/>
  <sheetViews>
    <sheetView showGridLines="0" topLeftCell="A46" zoomScale="70" zoomScaleNormal="70" workbookViewId="0"/>
  </sheetViews>
  <sheetFormatPr baseColWidth="10" defaultColWidth="11.42578125" defaultRowHeight="18.75" x14ac:dyDescent="0.3"/>
  <cols>
    <col min="1" max="1" width="8.42578125" style="56" customWidth="1"/>
    <col min="2" max="2" width="50.7109375" style="56" customWidth="1"/>
    <col min="3" max="3" width="20.7109375" style="106" customWidth="1"/>
    <col min="4" max="4" width="50.7109375" style="56" customWidth="1"/>
    <col min="5" max="5" width="55.7109375" style="56" customWidth="1"/>
    <col min="6" max="15" width="23.7109375" style="56" customWidth="1"/>
    <col min="16" max="16" width="11.42578125" style="56"/>
    <col min="17" max="17" width="14.42578125" style="56" bestFit="1" customWidth="1"/>
    <col min="18" max="25" width="11.42578125" style="56"/>
    <col min="26" max="162" width="11.42578125" style="118"/>
    <col min="163" max="16384" width="11.42578125" style="56"/>
  </cols>
  <sheetData>
    <row r="1" spans="1:162" x14ac:dyDescent="0.3">
      <c r="J1" s="57"/>
      <c r="K1" s="57"/>
      <c r="L1" s="57"/>
      <c r="M1" s="57"/>
      <c r="N1" s="57"/>
    </row>
    <row r="2" spans="1:162" x14ac:dyDescent="0.3">
      <c r="A2" s="1"/>
      <c r="B2" s="1"/>
      <c r="C2" s="30"/>
      <c r="D2" s="1"/>
      <c r="E2" s="1"/>
      <c r="F2" s="1"/>
      <c r="G2" s="1"/>
      <c r="H2" s="1"/>
      <c r="I2" s="30"/>
      <c r="J2" s="1"/>
      <c r="K2" s="1"/>
      <c r="L2" s="1"/>
      <c r="M2" s="1"/>
      <c r="N2" s="1"/>
      <c r="O2" s="1"/>
      <c r="P2" s="1"/>
    </row>
    <row r="3" spans="1:162" x14ac:dyDescent="0.3">
      <c r="A3" s="1"/>
      <c r="B3" s="1"/>
      <c r="C3" s="30"/>
      <c r="D3" s="1"/>
      <c r="E3" s="1"/>
      <c r="F3" s="1"/>
      <c r="G3" s="1"/>
      <c r="H3" s="1"/>
      <c r="I3" s="30"/>
      <c r="J3" s="1"/>
      <c r="K3" s="58"/>
      <c r="L3" s="1"/>
      <c r="M3" s="1"/>
      <c r="N3" s="1"/>
      <c r="O3" s="1"/>
      <c r="P3" s="1"/>
    </row>
    <row r="4" spans="1:162" x14ac:dyDescent="0.3">
      <c r="A4" s="1"/>
      <c r="B4" s="1"/>
      <c r="C4" s="30"/>
      <c r="D4" s="1"/>
      <c r="F4" s="1"/>
      <c r="G4" s="1"/>
      <c r="H4" s="1"/>
      <c r="I4" s="30"/>
      <c r="J4" s="1"/>
      <c r="K4" s="1"/>
      <c r="L4" s="1"/>
      <c r="M4" s="1"/>
      <c r="N4" s="1"/>
      <c r="O4" s="1"/>
      <c r="P4" s="1"/>
    </row>
    <row r="5" spans="1:162" x14ac:dyDescent="0.3">
      <c r="A5" s="1"/>
      <c r="B5" s="1"/>
      <c r="C5" s="30"/>
      <c r="D5" s="1"/>
      <c r="E5" s="1"/>
      <c r="F5" s="1"/>
      <c r="G5" s="1"/>
      <c r="H5" s="1"/>
      <c r="I5" s="30"/>
      <c r="J5" s="1"/>
      <c r="K5" s="31"/>
      <c r="L5" s="1"/>
      <c r="M5" s="1"/>
      <c r="N5" s="1"/>
      <c r="O5" s="1"/>
      <c r="P5" s="1"/>
    </row>
    <row r="6" spans="1:162" x14ac:dyDescent="0.3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17"/>
    </row>
    <row r="7" spans="1:162" x14ac:dyDescent="0.3">
      <c r="A7" s="145" t="s">
        <v>157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16"/>
    </row>
    <row r="8" spans="1:162" ht="19.5" thickBot="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16"/>
    </row>
    <row r="9" spans="1:162" s="85" customFormat="1" ht="60" customHeight="1" thickBot="1" x14ac:dyDescent="0.3">
      <c r="A9" s="82" t="s">
        <v>3</v>
      </c>
      <c r="B9" s="83" t="s">
        <v>88</v>
      </c>
      <c r="C9" s="82" t="s">
        <v>141</v>
      </c>
      <c r="D9" s="83" t="s">
        <v>90</v>
      </c>
      <c r="E9" s="82" t="s">
        <v>4</v>
      </c>
      <c r="F9" s="83" t="s">
        <v>5</v>
      </c>
      <c r="G9" s="82" t="s">
        <v>33</v>
      </c>
      <c r="H9" s="83" t="s">
        <v>140</v>
      </c>
      <c r="I9" s="82" t="s">
        <v>6</v>
      </c>
      <c r="J9" s="83" t="s">
        <v>7</v>
      </c>
      <c r="K9" s="82" t="s">
        <v>8</v>
      </c>
      <c r="L9" s="83" t="s">
        <v>9</v>
      </c>
      <c r="M9" s="82" t="s">
        <v>10</v>
      </c>
      <c r="N9" s="83" t="s">
        <v>11</v>
      </c>
      <c r="O9" s="82" t="s">
        <v>12</v>
      </c>
      <c r="P9" s="84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</row>
    <row r="10" spans="1:162" s="85" customFormat="1" ht="23.25" x14ac:dyDescent="0.25">
      <c r="A10" s="142" t="s">
        <v>80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84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</row>
    <row r="11" spans="1:162" x14ac:dyDescent="0.3">
      <c r="A11" s="59">
        <v>1</v>
      </c>
      <c r="B11" s="14" t="s">
        <v>131</v>
      </c>
      <c r="C11" s="94" t="s">
        <v>127</v>
      </c>
      <c r="D11" s="14" t="s">
        <v>80</v>
      </c>
      <c r="E11" s="14" t="s">
        <v>18</v>
      </c>
      <c r="F11" s="60" t="s">
        <v>13</v>
      </c>
      <c r="G11" s="16">
        <v>245000</v>
      </c>
      <c r="H11" s="16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16">
        <v>25</v>
      </c>
      <c r="J11" s="16">
        <f>ROUND(IF((G11)&gt;(15600*20),((15600*20)*0.0287),(G11)*0.0287),2)</f>
        <v>7031.5</v>
      </c>
      <c r="K11" s="16">
        <f>ROUND(IF((G11)&gt;(15600*10),((15600*10)*0.0304),(G11)*0.0304),2)</f>
        <v>4742.3999999999996</v>
      </c>
      <c r="L11" s="16">
        <f>ROUND(IF((G11)&gt;(15600*20),((15600*20)*0.071),(G11)*0.071),2)</f>
        <v>17395</v>
      </c>
      <c r="M11" s="16">
        <f>ROUND(IF((G11)&gt;(15600*10),((15600*10)*0.0709),(G11)*0.0709),2)</f>
        <v>11060.4</v>
      </c>
      <c r="N11" s="16">
        <f>+ROUND(IF(G11&gt;(15600*4),((15600*4)*0.0115),G11*0.0115),2)</f>
        <v>717.6</v>
      </c>
      <c r="O11" s="61">
        <f>+G11-I11-J127-K11-H11-J11</f>
        <v>186311.64</v>
      </c>
      <c r="P11" s="63"/>
    </row>
    <row r="12" spans="1:162" s="89" customFormat="1" x14ac:dyDescent="0.3">
      <c r="A12" s="59">
        <v>2</v>
      </c>
      <c r="B12" s="17" t="s">
        <v>117</v>
      </c>
      <c r="C12" s="104" t="s">
        <v>127</v>
      </c>
      <c r="D12" s="14" t="s">
        <v>80</v>
      </c>
      <c r="E12" s="17" t="s">
        <v>118</v>
      </c>
      <c r="F12" s="80" t="s">
        <v>13</v>
      </c>
      <c r="G12" s="20">
        <v>130000</v>
      </c>
      <c r="H12" s="16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6">
        <v>25</v>
      </c>
      <c r="J12" s="16">
        <f t="shared" ref="J12:J14" si="0">ROUND(IF((G12)&gt;(15600*20),((15600*20)*0.0287),(G12)*0.0287),2)</f>
        <v>3731</v>
      </c>
      <c r="K12" s="16">
        <f t="shared" ref="K12:K14" si="1">ROUND(IF((G12)&gt;(15600*10),((15600*10)*0.0304),(G12)*0.0304),2)</f>
        <v>3952</v>
      </c>
      <c r="L12" s="16">
        <f t="shared" ref="L12:L14" si="2">ROUND(IF((G12)&gt;(15600*20),((15600*20)*0.071),(G12)*0.071),2)</f>
        <v>9230</v>
      </c>
      <c r="M12" s="16">
        <f t="shared" ref="M12:M14" si="3">ROUND(IF((G12)&gt;(15600*10),((15600*10)*0.0709),(G12)*0.0709),2)</f>
        <v>9217</v>
      </c>
      <c r="N12" s="16">
        <f t="shared" ref="N12:N14" si="4">+ROUND(IF(G12&gt;(15600*4),((15600*4)*0.0115),G12*0.0115),2)</f>
        <v>717.6</v>
      </c>
      <c r="O12" s="61">
        <f>+G12-I12-J148-K12-H12-J12</f>
        <v>103129.81</v>
      </c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</row>
    <row r="13" spans="1:162" s="87" customFormat="1" x14ac:dyDescent="0.3">
      <c r="A13" s="59">
        <v>3</v>
      </c>
      <c r="B13" s="88" t="s">
        <v>58</v>
      </c>
      <c r="C13" s="80" t="s">
        <v>127</v>
      </c>
      <c r="D13" s="14" t="s">
        <v>80</v>
      </c>
      <c r="E13" s="88" t="s">
        <v>116</v>
      </c>
      <c r="F13" s="60" t="s">
        <v>13</v>
      </c>
      <c r="G13" s="86">
        <v>85000</v>
      </c>
      <c r="H13" s="86">
        <v>8577.06</v>
      </c>
      <c r="I13" s="86">
        <v>25</v>
      </c>
      <c r="J13" s="16">
        <f t="shared" si="0"/>
        <v>2439.5</v>
      </c>
      <c r="K13" s="16">
        <f t="shared" si="1"/>
        <v>2584</v>
      </c>
      <c r="L13" s="16">
        <f t="shared" si="2"/>
        <v>6035</v>
      </c>
      <c r="M13" s="16">
        <f t="shared" si="3"/>
        <v>6026.5</v>
      </c>
      <c r="N13" s="16">
        <f t="shared" si="4"/>
        <v>717.6</v>
      </c>
      <c r="O13" s="100">
        <v>71374.44</v>
      </c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</row>
    <row r="14" spans="1:162" x14ac:dyDescent="0.3">
      <c r="A14" s="59">
        <v>4</v>
      </c>
      <c r="B14" s="14" t="s">
        <v>23</v>
      </c>
      <c r="C14" s="94" t="s">
        <v>128</v>
      </c>
      <c r="D14" s="14" t="s">
        <v>80</v>
      </c>
      <c r="E14" s="14" t="s">
        <v>24</v>
      </c>
      <c r="F14" s="60" t="s">
        <v>13</v>
      </c>
      <c r="G14" s="16">
        <v>60000</v>
      </c>
      <c r="H14" s="16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3486.64</v>
      </c>
      <c r="I14" s="16">
        <v>25</v>
      </c>
      <c r="J14" s="16">
        <f t="shared" si="0"/>
        <v>1722</v>
      </c>
      <c r="K14" s="16">
        <f t="shared" si="1"/>
        <v>1824</v>
      </c>
      <c r="L14" s="16">
        <f t="shared" si="2"/>
        <v>4260</v>
      </c>
      <c r="M14" s="16">
        <f t="shared" si="3"/>
        <v>4254</v>
      </c>
      <c r="N14" s="16">
        <f t="shared" si="4"/>
        <v>690</v>
      </c>
      <c r="O14" s="61">
        <f>+G14-I14-J136-K14-H14-J14</f>
        <v>52942.36</v>
      </c>
    </row>
    <row r="15" spans="1:162" s="110" customFormat="1" ht="22.5" x14ac:dyDescent="0.3">
      <c r="A15" s="139" t="s">
        <v>132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</row>
    <row r="16" spans="1:162" s="90" customFormat="1" x14ac:dyDescent="0.3">
      <c r="A16" s="59">
        <v>5</v>
      </c>
      <c r="B16" s="14" t="s">
        <v>91</v>
      </c>
      <c r="C16" s="94" t="s">
        <v>128</v>
      </c>
      <c r="D16" s="14" t="s">
        <v>79</v>
      </c>
      <c r="E16" s="14" t="s">
        <v>92</v>
      </c>
      <c r="F16" s="60" t="s">
        <v>13</v>
      </c>
      <c r="G16" s="16">
        <v>50000</v>
      </c>
      <c r="H16" s="16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6">
        <v>25</v>
      </c>
      <c r="J16" s="16">
        <f>ROUND(IF((G16)&gt;(15600*20),((15600*20)*0.0287),(G16)*0.0287),2)</f>
        <v>1435</v>
      </c>
      <c r="K16" s="16">
        <f>ROUND(IF((G16)&gt;(15600*10),((15600*10)*0.0304),(G16)*0.0304),2)</f>
        <v>1520</v>
      </c>
      <c r="L16" s="16">
        <f>ROUND(IF((G16)&gt;(15600*20),((15600*20)*0.071),(G16)*0.071),2)</f>
        <v>3550</v>
      </c>
      <c r="M16" s="16">
        <f>ROUND(IF((G16)&gt;(15600*10),((15600*10)*0.0709),(G16)*0.0709),2)</f>
        <v>3545</v>
      </c>
      <c r="N16" s="16">
        <f>+ROUND(IF(G16&gt;(15600*4),((15600*4)*0.0115),G16*0.0115),2)</f>
        <v>575</v>
      </c>
      <c r="O16" s="61">
        <f>+G16-I16-J120-K16-H16-J16</f>
        <v>45166</v>
      </c>
      <c r="S16" s="56"/>
      <c r="T16" s="56"/>
      <c r="U16" s="56"/>
      <c r="V16" s="56"/>
      <c r="W16" s="56"/>
      <c r="X16" s="56"/>
      <c r="Y16" s="56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</row>
    <row r="17" spans="1:162" s="99" customFormat="1" ht="23.25" x14ac:dyDescent="0.3">
      <c r="A17" s="139" t="s">
        <v>142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98"/>
      <c r="Q17" s="98"/>
      <c r="R17" s="98"/>
      <c r="S17" s="56"/>
      <c r="T17" s="56"/>
      <c r="U17" s="56"/>
      <c r="V17" s="56"/>
      <c r="W17" s="56"/>
      <c r="X17" s="56"/>
      <c r="Y17" s="56"/>
      <c r="Z17" s="118"/>
      <c r="AA17" s="11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</row>
    <row r="18" spans="1:162" x14ac:dyDescent="0.3">
      <c r="A18" s="59">
        <v>6</v>
      </c>
      <c r="B18" s="14" t="s">
        <v>14</v>
      </c>
      <c r="C18" s="94" t="s">
        <v>127</v>
      </c>
      <c r="D18" s="14" t="s">
        <v>77</v>
      </c>
      <c r="E18" s="14" t="s">
        <v>15</v>
      </c>
      <c r="F18" s="60" t="s">
        <v>13</v>
      </c>
      <c r="G18" s="16">
        <v>25000</v>
      </c>
      <c r="H18" s="16">
        <f t="shared" ref="H18:H23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16">
        <v>25</v>
      </c>
      <c r="J18" s="16">
        <f t="shared" ref="J18:J23" si="6">ROUND(IF((G18)&gt;(15600*20),((15600*20)*0.0287),(G18)*0.0287),2)</f>
        <v>717.5</v>
      </c>
      <c r="K18" s="16">
        <f t="shared" ref="K18:K23" si="7">ROUND(IF((G18)&gt;(15600*10),((15600*10)*0.0304),(G18)*0.0304),2)</f>
        <v>760</v>
      </c>
      <c r="L18" s="16">
        <f t="shared" ref="L18:L23" si="8">ROUND(IF((G18)&gt;(15600*20),((15600*20)*0.071),(G18)*0.071),2)</f>
        <v>1775</v>
      </c>
      <c r="M18" s="16">
        <f t="shared" ref="M18:M23" si="9">ROUND(IF((G18)&gt;(15600*10),((15600*10)*0.0709),(G18)*0.0709),2)</f>
        <v>1772.5</v>
      </c>
      <c r="N18" s="16">
        <f t="shared" ref="N18:N23" si="10">+ROUND(IF(G18&gt;(15600*4),((15600*4)*0.0115),G18*0.0115),2)</f>
        <v>287.5</v>
      </c>
      <c r="O18" s="61">
        <f>+G18-I18-J125-K18-H18-J18</f>
        <v>23497.5</v>
      </c>
      <c r="P18" s="62"/>
      <c r="S18" s="90"/>
      <c r="T18" s="90"/>
      <c r="U18" s="90"/>
      <c r="V18" s="90"/>
      <c r="W18" s="90"/>
      <c r="X18" s="90"/>
      <c r="Y18" s="90"/>
    </row>
    <row r="19" spans="1:162" x14ac:dyDescent="0.3">
      <c r="A19" s="59">
        <v>7</v>
      </c>
      <c r="B19" s="14" t="s">
        <v>110</v>
      </c>
      <c r="C19" s="94" t="s">
        <v>127</v>
      </c>
      <c r="D19" s="14" t="s">
        <v>77</v>
      </c>
      <c r="E19" s="14" t="s">
        <v>15</v>
      </c>
      <c r="F19" s="60" t="s">
        <v>13</v>
      </c>
      <c r="G19" s="16">
        <v>25000</v>
      </c>
      <c r="H19" s="16">
        <f t="shared" si="5"/>
        <v>0</v>
      </c>
      <c r="I19" s="16">
        <v>25</v>
      </c>
      <c r="J19" s="16">
        <f t="shared" si="6"/>
        <v>717.5</v>
      </c>
      <c r="K19" s="16">
        <f t="shared" si="7"/>
        <v>760</v>
      </c>
      <c r="L19" s="16">
        <f t="shared" si="8"/>
        <v>1775</v>
      </c>
      <c r="M19" s="16">
        <f t="shared" si="9"/>
        <v>1772.5</v>
      </c>
      <c r="N19" s="16">
        <f t="shared" si="10"/>
        <v>287.5</v>
      </c>
      <c r="O19" s="61">
        <f>+G19-I19-J126-K19-H19-J19</f>
        <v>23497.5</v>
      </c>
      <c r="P19" s="62"/>
      <c r="S19" s="90"/>
      <c r="T19" s="90"/>
      <c r="U19" s="90"/>
      <c r="V19" s="90"/>
      <c r="W19" s="90"/>
      <c r="X19" s="90"/>
      <c r="Y19" s="90"/>
    </row>
    <row r="20" spans="1:162" s="90" customFormat="1" x14ac:dyDescent="0.3">
      <c r="A20" s="59">
        <v>8</v>
      </c>
      <c r="B20" s="14" t="s">
        <v>56</v>
      </c>
      <c r="C20" s="94" t="s">
        <v>127</v>
      </c>
      <c r="D20" s="14" t="s">
        <v>77</v>
      </c>
      <c r="E20" s="14" t="s">
        <v>57</v>
      </c>
      <c r="F20" s="60" t="s">
        <v>13</v>
      </c>
      <c r="G20" s="16">
        <v>40000</v>
      </c>
      <c r="H20" s="16">
        <f t="shared" si="5"/>
        <v>442.65</v>
      </c>
      <c r="I20" s="16">
        <v>25</v>
      </c>
      <c r="J20" s="16">
        <f t="shared" si="6"/>
        <v>1148</v>
      </c>
      <c r="K20" s="16">
        <f t="shared" si="7"/>
        <v>1216</v>
      </c>
      <c r="L20" s="16">
        <f t="shared" si="8"/>
        <v>2840</v>
      </c>
      <c r="M20" s="16">
        <f t="shared" si="9"/>
        <v>2836</v>
      </c>
      <c r="N20" s="16">
        <f t="shared" si="10"/>
        <v>460</v>
      </c>
      <c r="O20" s="66">
        <f t="shared" ref="O20:O21" si="11">+G20-H20-I20-J20-K20</f>
        <v>37168.35</v>
      </c>
      <c r="S20" s="56"/>
      <c r="T20" s="56"/>
      <c r="U20" s="56"/>
      <c r="V20" s="56"/>
      <c r="W20" s="56"/>
      <c r="X20" s="56"/>
      <c r="Y20" s="56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</row>
    <row r="21" spans="1:162" s="90" customFormat="1" ht="19.5" customHeight="1" x14ac:dyDescent="0.3">
      <c r="A21" s="59">
        <v>9</v>
      </c>
      <c r="B21" s="67" t="s">
        <v>59</v>
      </c>
      <c r="C21" s="107" t="s">
        <v>127</v>
      </c>
      <c r="D21" s="14" t="s">
        <v>77</v>
      </c>
      <c r="E21" s="67" t="s">
        <v>60</v>
      </c>
      <c r="F21" s="60" t="s">
        <v>13</v>
      </c>
      <c r="G21" s="16">
        <v>25000</v>
      </c>
      <c r="H21" s="16">
        <f t="shared" si="5"/>
        <v>0</v>
      </c>
      <c r="I21" s="16">
        <v>25</v>
      </c>
      <c r="J21" s="16">
        <f t="shared" si="6"/>
        <v>717.5</v>
      </c>
      <c r="K21" s="16">
        <f t="shared" si="7"/>
        <v>760</v>
      </c>
      <c r="L21" s="16">
        <f t="shared" si="8"/>
        <v>1775</v>
      </c>
      <c r="M21" s="16">
        <f t="shared" si="9"/>
        <v>1772.5</v>
      </c>
      <c r="N21" s="16">
        <f t="shared" si="10"/>
        <v>287.5</v>
      </c>
      <c r="O21" s="66">
        <f t="shared" si="11"/>
        <v>23497.5</v>
      </c>
      <c r="S21" s="56"/>
      <c r="T21" s="56"/>
      <c r="U21" s="56"/>
      <c r="V21" s="56"/>
      <c r="W21" s="56"/>
      <c r="X21" s="56"/>
      <c r="Y21" s="56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</row>
    <row r="22" spans="1:162" x14ac:dyDescent="0.3">
      <c r="A22" s="59">
        <v>10</v>
      </c>
      <c r="B22" s="14" t="s">
        <v>27</v>
      </c>
      <c r="C22" s="94" t="s">
        <v>128</v>
      </c>
      <c r="D22" s="14" t="s">
        <v>77</v>
      </c>
      <c r="E22" s="14" t="s">
        <v>20</v>
      </c>
      <c r="F22" s="60" t="s">
        <v>13</v>
      </c>
      <c r="G22" s="16">
        <v>20000</v>
      </c>
      <c r="H22" s="16">
        <f t="shared" si="5"/>
        <v>0</v>
      </c>
      <c r="I22" s="16">
        <v>25</v>
      </c>
      <c r="J22" s="16">
        <f t="shared" si="6"/>
        <v>574</v>
      </c>
      <c r="K22" s="16">
        <f t="shared" si="7"/>
        <v>608</v>
      </c>
      <c r="L22" s="16">
        <f t="shared" si="8"/>
        <v>1420</v>
      </c>
      <c r="M22" s="16">
        <f t="shared" si="9"/>
        <v>1418</v>
      </c>
      <c r="N22" s="16">
        <f t="shared" si="10"/>
        <v>230</v>
      </c>
      <c r="O22" s="61">
        <f>+G22-I22-J138-K22-H22-J22</f>
        <v>18793</v>
      </c>
    </row>
    <row r="23" spans="1:162" x14ac:dyDescent="0.3">
      <c r="A23" s="59">
        <v>11</v>
      </c>
      <c r="B23" s="14" t="s">
        <v>25</v>
      </c>
      <c r="C23" s="94" t="s">
        <v>128</v>
      </c>
      <c r="D23" s="14" t="s">
        <v>77</v>
      </c>
      <c r="E23" s="14" t="s">
        <v>26</v>
      </c>
      <c r="F23" s="60" t="s">
        <v>13</v>
      </c>
      <c r="G23" s="16">
        <v>20000</v>
      </c>
      <c r="H23" s="16">
        <f t="shared" si="5"/>
        <v>0</v>
      </c>
      <c r="I23" s="16">
        <v>25</v>
      </c>
      <c r="J23" s="16">
        <f t="shared" si="6"/>
        <v>574</v>
      </c>
      <c r="K23" s="16">
        <f t="shared" si="7"/>
        <v>608</v>
      </c>
      <c r="L23" s="16">
        <f t="shared" si="8"/>
        <v>1420</v>
      </c>
      <c r="M23" s="16">
        <f t="shared" si="9"/>
        <v>1418</v>
      </c>
      <c r="N23" s="16">
        <f t="shared" si="10"/>
        <v>230</v>
      </c>
      <c r="O23" s="61">
        <f>+G23-I23-J137-K23-H23-J23</f>
        <v>18793</v>
      </c>
    </row>
    <row r="24" spans="1:162" s="90" customFormat="1" ht="22.5" x14ac:dyDescent="0.3">
      <c r="A24" s="139" t="s">
        <v>129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1"/>
      <c r="S24" s="56"/>
      <c r="T24" s="56"/>
      <c r="U24" s="56"/>
      <c r="V24" s="56"/>
      <c r="W24" s="56"/>
      <c r="X24" s="56"/>
      <c r="Y24" s="56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</row>
    <row r="25" spans="1:162" x14ac:dyDescent="0.3">
      <c r="A25" s="6">
        <v>12</v>
      </c>
      <c r="B25" s="14" t="s">
        <v>98</v>
      </c>
      <c r="C25" s="94" t="s">
        <v>128</v>
      </c>
      <c r="D25" s="14" t="s">
        <v>151</v>
      </c>
      <c r="E25" s="14" t="s">
        <v>86</v>
      </c>
      <c r="F25" s="60" t="s">
        <v>13</v>
      </c>
      <c r="G25" s="16">
        <v>155000</v>
      </c>
      <c r="H25" s="92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25042.81</v>
      </c>
      <c r="I25" s="20">
        <v>25</v>
      </c>
      <c r="J25" s="16">
        <f t="shared" ref="J25:J27" si="12">ROUND(IF((G25)&gt;(15600*20),((15600*20)*0.0287),(G25)*0.0287),2)</f>
        <v>4448.5</v>
      </c>
      <c r="K25" s="16">
        <f>ROUND(IF((G25)&gt;(15600*10),((15600*10)*0.0304),(G25)*0.0304),2)</f>
        <v>4712</v>
      </c>
      <c r="L25" s="16">
        <f>ROUND(IF((G25)&gt;(15600*20),((15600*20)*0.071),(G25)*0.071),2)</f>
        <v>11005</v>
      </c>
      <c r="M25" s="16">
        <f>ROUND(IF((G25)&gt;(15600*10),((15600*10)*0.0709),(G25)*0.0709),2)</f>
        <v>10989.5</v>
      </c>
      <c r="N25" s="16">
        <f>+ROUND(IF(G25&gt;(15600*4),((15600*4)*0.0115),G25*0.0115),2)</f>
        <v>717.6</v>
      </c>
      <c r="O25" s="81">
        <f>+G25-I25-J148-K25-H25-J25</f>
        <v>120771.69</v>
      </c>
    </row>
    <row r="26" spans="1:162" x14ac:dyDescent="0.3">
      <c r="A26" s="6">
        <v>13</v>
      </c>
      <c r="B26" s="14" t="s">
        <v>16</v>
      </c>
      <c r="C26" s="94" t="s">
        <v>127</v>
      </c>
      <c r="D26" s="14" t="s">
        <v>152</v>
      </c>
      <c r="E26" s="14" t="s">
        <v>17</v>
      </c>
      <c r="F26" s="60" t="s">
        <v>13</v>
      </c>
      <c r="G26" s="16">
        <v>45000</v>
      </c>
      <c r="H26" s="16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1148.32</v>
      </c>
      <c r="I26" s="16">
        <v>25</v>
      </c>
      <c r="J26" s="16">
        <f t="shared" si="12"/>
        <v>1291.5</v>
      </c>
      <c r="K26" s="16">
        <f t="shared" ref="K26:K27" si="13">ROUND(IF((G26)&gt;(15600*10),((15600*10)*0.0304),(G26)*0.0304),2)</f>
        <v>1368</v>
      </c>
      <c r="L26" s="16">
        <f t="shared" ref="L26:L27" si="14">ROUND(IF((G26)&gt;(15600*20),((15600*20)*0.071),(G26)*0.071),2)</f>
        <v>3195</v>
      </c>
      <c r="M26" s="16">
        <f t="shared" ref="M26:M27" si="15">ROUND(IF((G26)&gt;(15600*10),((15600*10)*0.0709),(G26)*0.0709),2)</f>
        <v>3190.5</v>
      </c>
      <c r="N26" s="16">
        <f t="shared" ref="N26:N27" si="16">+ROUND(IF(G26&gt;(15600*4),((15600*4)*0.0115),G26*0.0115),2)</f>
        <v>517.5</v>
      </c>
      <c r="O26" s="61">
        <f>+G26-I26-J126-K26-H26-J26</f>
        <v>41167.18</v>
      </c>
      <c r="P26" s="62"/>
      <c r="S26" s="90"/>
      <c r="T26" s="90"/>
      <c r="U26" s="90"/>
      <c r="V26" s="90"/>
      <c r="W26" s="90"/>
      <c r="X26" s="90"/>
      <c r="Y26" s="90"/>
    </row>
    <row r="27" spans="1:162" x14ac:dyDescent="0.3">
      <c r="A27" s="6">
        <v>14</v>
      </c>
      <c r="B27" s="14" t="s">
        <v>21</v>
      </c>
      <c r="C27" s="94" t="s">
        <v>128</v>
      </c>
      <c r="D27" s="14" t="s">
        <v>22</v>
      </c>
      <c r="E27" s="14" t="s">
        <v>22</v>
      </c>
      <c r="F27" s="60" t="s">
        <v>13</v>
      </c>
      <c r="G27" s="16">
        <v>60000</v>
      </c>
      <c r="H27" s="16">
        <f t="shared" ref="H27" si="17"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3486.64</v>
      </c>
      <c r="I27" s="16">
        <v>25</v>
      </c>
      <c r="J27" s="16">
        <f t="shared" si="12"/>
        <v>1722</v>
      </c>
      <c r="K27" s="16">
        <f t="shared" si="13"/>
        <v>1824</v>
      </c>
      <c r="L27" s="16">
        <f t="shared" si="14"/>
        <v>4260</v>
      </c>
      <c r="M27" s="16">
        <f t="shared" si="15"/>
        <v>4254</v>
      </c>
      <c r="N27" s="16">
        <f t="shared" si="16"/>
        <v>690</v>
      </c>
      <c r="O27" s="61">
        <f>+G27-I27-J134-K27-H27-J27</f>
        <v>52942.36</v>
      </c>
    </row>
    <row r="28" spans="1:162" s="90" customFormat="1" ht="22.5" x14ac:dyDescent="0.3">
      <c r="A28" s="139" t="s">
        <v>126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1"/>
      <c r="S28" s="56"/>
      <c r="T28" s="56"/>
      <c r="U28" s="56"/>
      <c r="V28" s="56"/>
      <c r="W28" s="56"/>
      <c r="X28" s="56"/>
      <c r="Y28" s="56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</row>
    <row r="29" spans="1:162" x14ac:dyDescent="0.3">
      <c r="A29" s="59">
        <v>15</v>
      </c>
      <c r="B29" s="14" t="s">
        <v>19</v>
      </c>
      <c r="C29" s="94" t="s">
        <v>128</v>
      </c>
      <c r="D29" s="14" t="s">
        <v>153</v>
      </c>
      <c r="E29" s="14" t="s">
        <v>137</v>
      </c>
      <c r="F29" s="60" t="s">
        <v>13</v>
      </c>
      <c r="G29" s="16">
        <v>85000</v>
      </c>
      <c r="H29" s="16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16">
        <v>25</v>
      </c>
      <c r="J29" s="16">
        <f t="shared" ref="J29:J31" si="18">ROUND(IF((G29)&gt;(15600*20),((15600*20)*0.0287),(G29)*0.0287),2)</f>
        <v>2439.5</v>
      </c>
      <c r="K29" s="16">
        <f t="shared" ref="K29:K31" si="19">ROUND(IF((G29)&gt;(15600*10),((15600*10)*0.0304),(G29)*0.0304),2)</f>
        <v>2584</v>
      </c>
      <c r="L29" s="16">
        <f t="shared" ref="L29:L31" si="20">ROUND(IF((G29)&gt;(15600*20),((15600*20)*0.071),(G29)*0.071),2)</f>
        <v>6035</v>
      </c>
      <c r="M29" s="16">
        <f t="shared" ref="M29:M31" si="21">ROUND(IF((G29)&gt;(15600*10),((15600*10)*0.0709),(G29)*0.0709),2)</f>
        <v>6026.5</v>
      </c>
      <c r="N29" s="16">
        <f t="shared" ref="N29:N31" si="22">+ROUND(IF(G29&gt;(15600*4),((15600*4)*0.0115),G29*0.0115),2)</f>
        <v>717.6</v>
      </c>
      <c r="O29" s="61">
        <f>+G29-I29-J130-K29-H29-J29</f>
        <v>71374.44</v>
      </c>
    </row>
    <row r="30" spans="1:162" x14ac:dyDescent="0.3">
      <c r="A30" s="59">
        <v>16</v>
      </c>
      <c r="B30" s="14" t="s">
        <v>54</v>
      </c>
      <c r="C30" s="94" t="s">
        <v>127</v>
      </c>
      <c r="D30" s="14" t="s">
        <v>84</v>
      </c>
      <c r="E30" s="14" t="s">
        <v>55</v>
      </c>
      <c r="F30" s="60" t="s">
        <v>13</v>
      </c>
      <c r="G30" s="16">
        <v>50000</v>
      </c>
      <c r="H30" s="16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1854</v>
      </c>
      <c r="I30" s="16">
        <v>25</v>
      </c>
      <c r="J30" s="16">
        <f t="shared" si="18"/>
        <v>1435</v>
      </c>
      <c r="K30" s="16">
        <f t="shared" si="19"/>
        <v>1520</v>
      </c>
      <c r="L30" s="16">
        <f t="shared" si="20"/>
        <v>3550</v>
      </c>
      <c r="M30" s="16">
        <f t="shared" si="21"/>
        <v>3545</v>
      </c>
      <c r="N30" s="16">
        <f t="shared" si="22"/>
        <v>575</v>
      </c>
      <c r="O30" s="66">
        <f>+G30-H30-I30-J30-K30</f>
        <v>45166</v>
      </c>
      <c r="S30" s="90"/>
      <c r="T30" s="90"/>
      <c r="U30" s="90"/>
      <c r="V30" s="90"/>
      <c r="W30" s="90"/>
      <c r="X30" s="90"/>
      <c r="Y30" s="90"/>
    </row>
    <row r="31" spans="1:162" x14ac:dyDescent="0.3">
      <c r="A31" s="59">
        <v>17</v>
      </c>
      <c r="B31" s="14" t="s">
        <v>28</v>
      </c>
      <c r="C31" s="94" t="s">
        <v>128</v>
      </c>
      <c r="D31" s="14" t="s">
        <v>78</v>
      </c>
      <c r="E31" s="14" t="s">
        <v>29</v>
      </c>
      <c r="F31" s="60" t="s">
        <v>13</v>
      </c>
      <c r="G31" s="16">
        <v>55000</v>
      </c>
      <c r="H31" s="16">
        <f t="shared" ref="H31" si="23"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2559.67</v>
      </c>
      <c r="I31" s="16">
        <v>25</v>
      </c>
      <c r="J31" s="16">
        <f t="shared" si="18"/>
        <v>1578.5</v>
      </c>
      <c r="K31" s="16">
        <f t="shared" si="19"/>
        <v>1672</v>
      </c>
      <c r="L31" s="16">
        <f t="shared" si="20"/>
        <v>3905</v>
      </c>
      <c r="M31" s="16">
        <f t="shared" si="21"/>
        <v>3899.5</v>
      </c>
      <c r="N31" s="16">
        <f t="shared" si="22"/>
        <v>632.5</v>
      </c>
      <c r="O31" s="61">
        <f>+G31-I31-J139-K31-H31-J31</f>
        <v>49164.83</v>
      </c>
    </row>
    <row r="32" spans="1:162" s="90" customFormat="1" ht="22.5" x14ac:dyDescent="0.3">
      <c r="A32" s="139" t="s">
        <v>113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S32" s="56"/>
      <c r="T32" s="56"/>
      <c r="U32" s="56"/>
      <c r="V32" s="56"/>
      <c r="W32" s="56"/>
      <c r="X32" s="56"/>
      <c r="Y32" s="56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</row>
    <row r="33" spans="1:162" x14ac:dyDescent="0.3">
      <c r="A33" s="59">
        <v>18</v>
      </c>
      <c r="B33" s="14" t="s">
        <v>36</v>
      </c>
      <c r="C33" s="94" t="s">
        <v>128</v>
      </c>
      <c r="D33" s="14" t="s">
        <v>120</v>
      </c>
      <c r="E33" s="14" t="s">
        <v>37</v>
      </c>
      <c r="F33" s="60" t="s">
        <v>13</v>
      </c>
      <c r="G33" s="16">
        <v>165000</v>
      </c>
      <c r="H33" s="16">
        <f t="shared" ref="H33:H40" si="24"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27463.46</v>
      </c>
      <c r="I33" s="16">
        <v>25</v>
      </c>
      <c r="J33" s="16">
        <f t="shared" ref="J33:J40" si="25">ROUND(IF((G33)&gt;(15600*20),((15600*20)*0.0287),(G33)*0.0287),2)</f>
        <v>4735.5</v>
      </c>
      <c r="K33" s="16">
        <f t="shared" ref="K33:K40" si="26">ROUND(IF((G33)&gt;(15600*10),((15600*10)*0.0304),(G33)*0.0304),2)</f>
        <v>4742.3999999999996</v>
      </c>
      <c r="L33" s="16">
        <f t="shared" ref="L33:L40" si="27">ROUND(IF((G33)&gt;(15600*20),((15600*20)*0.071),(G33)*0.071),2)</f>
        <v>11715</v>
      </c>
      <c r="M33" s="16">
        <f>ROUND(IF((G33)&gt;(15600*10),((15600*10)*0.0709),(G33)*0.0709),2)</f>
        <v>11060.4</v>
      </c>
      <c r="N33" s="16">
        <f t="shared" ref="N33:N40" si="28">+ROUND(IF(G33&gt;(15600*4),((15600*4)*0.0115),G33*0.0115),2)</f>
        <v>717.6</v>
      </c>
      <c r="O33" s="61">
        <f t="shared" ref="O33:O39" si="29">+G33-I33-J141-K33-H33-J33</f>
        <v>128033.64000000001</v>
      </c>
    </row>
    <row r="34" spans="1:162" x14ac:dyDescent="0.3">
      <c r="A34" s="59">
        <v>19</v>
      </c>
      <c r="B34" s="14" t="s">
        <v>34</v>
      </c>
      <c r="C34" s="94" t="s">
        <v>128</v>
      </c>
      <c r="D34" s="14" t="s">
        <v>82</v>
      </c>
      <c r="E34" s="14" t="s">
        <v>35</v>
      </c>
      <c r="F34" s="60" t="s">
        <v>13</v>
      </c>
      <c r="G34" s="16">
        <v>56000</v>
      </c>
      <c r="H34" s="16">
        <f t="shared" si="24"/>
        <v>2733.92</v>
      </c>
      <c r="I34" s="16">
        <v>25</v>
      </c>
      <c r="J34" s="16">
        <f t="shared" si="25"/>
        <v>1607.2</v>
      </c>
      <c r="K34" s="16">
        <f t="shared" si="26"/>
        <v>1702.4</v>
      </c>
      <c r="L34" s="16">
        <f t="shared" si="27"/>
        <v>3976</v>
      </c>
      <c r="M34" s="16">
        <f t="shared" ref="M34:M40" si="30">ROUND(IF((G34)&gt;(15600*10),((15600*10)*0.0709),(G34)*0.0709),2)</f>
        <v>3970.4</v>
      </c>
      <c r="N34" s="16">
        <f t="shared" si="28"/>
        <v>644</v>
      </c>
      <c r="O34" s="61">
        <f t="shared" si="29"/>
        <v>49931.48</v>
      </c>
    </row>
    <row r="35" spans="1:162" x14ac:dyDescent="0.3">
      <c r="A35" s="59">
        <v>20</v>
      </c>
      <c r="B35" s="14" t="s">
        <v>40</v>
      </c>
      <c r="C35" s="94" t="s">
        <v>128</v>
      </c>
      <c r="D35" s="14" t="s">
        <v>82</v>
      </c>
      <c r="E35" s="14" t="s">
        <v>41</v>
      </c>
      <c r="F35" s="60" t="s">
        <v>13</v>
      </c>
      <c r="G35" s="16">
        <v>140000</v>
      </c>
      <c r="H35" s="16">
        <f t="shared" si="24"/>
        <v>21514.44</v>
      </c>
      <c r="I35" s="16">
        <v>25</v>
      </c>
      <c r="J35" s="16">
        <f t="shared" si="25"/>
        <v>4018</v>
      </c>
      <c r="K35" s="16">
        <f t="shared" si="26"/>
        <v>4256</v>
      </c>
      <c r="L35" s="16">
        <f t="shared" si="27"/>
        <v>9940</v>
      </c>
      <c r="M35" s="16">
        <f t="shared" si="30"/>
        <v>9926</v>
      </c>
      <c r="N35" s="16">
        <f t="shared" si="28"/>
        <v>717.6</v>
      </c>
      <c r="O35" s="61">
        <f t="shared" si="29"/>
        <v>110186.56</v>
      </c>
    </row>
    <row r="36" spans="1:162" x14ac:dyDescent="0.3">
      <c r="A36" s="59">
        <v>21</v>
      </c>
      <c r="B36" s="14" t="s">
        <v>66</v>
      </c>
      <c r="C36" s="94" t="s">
        <v>128</v>
      </c>
      <c r="D36" s="14" t="s">
        <v>82</v>
      </c>
      <c r="E36" s="67" t="s">
        <v>67</v>
      </c>
      <c r="F36" s="60" t="s">
        <v>13</v>
      </c>
      <c r="G36" s="16">
        <v>50000</v>
      </c>
      <c r="H36" s="16">
        <f t="shared" si="24"/>
        <v>1854</v>
      </c>
      <c r="I36" s="16">
        <v>25</v>
      </c>
      <c r="J36" s="16">
        <f t="shared" si="25"/>
        <v>1435</v>
      </c>
      <c r="K36" s="16">
        <f t="shared" si="26"/>
        <v>1520</v>
      </c>
      <c r="L36" s="16">
        <f t="shared" si="27"/>
        <v>3550</v>
      </c>
      <c r="M36" s="16">
        <f t="shared" si="30"/>
        <v>3545</v>
      </c>
      <c r="N36" s="16">
        <f t="shared" si="28"/>
        <v>575</v>
      </c>
      <c r="O36" s="61">
        <f t="shared" si="29"/>
        <v>45166</v>
      </c>
    </row>
    <row r="37" spans="1:162" x14ac:dyDescent="0.3">
      <c r="A37" s="59">
        <v>22</v>
      </c>
      <c r="B37" s="14" t="s">
        <v>68</v>
      </c>
      <c r="C37" s="94" t="s">
        <v>128</v>
      </c>
      <c r="D37" s="14" t="s">
        <v>82</v>
      </c>
      <c r="E37" s="67" t="s">
        <v>67</v>
      </c>
      <c r="F37" s="60" t="s">
        <v>13</v>
      </c>
      <c r="G37" s="16">
        <v>60000</v>
      </c>
      <c r="H37" s="16">
        <f t="shared" si="24"/>
        <v>3486.64</v>
      </c>
      <c r="I37" s="16">
        <v>25</v>
      </c>
      <c r="J37" s="16">
        <f t="shared" si="25"/>
        <v>1722</v>
      </c>
      <c r="K37" s="16">
        <f t="shared" si="26"/>
        <v>1824</v>
      </c>
      <c r="L37" s="16">
        <f t="shared" si="27"/>
        <v>4260</v>
      </c>
      <c r="M37" s="16">
        <f t="shared" si="30"/>
        <v>4254</v>
      </c>
      <c r="N37" s="16">
        <f t="shared" si="28"/>
        <v>690</v>
      </c>
      <c r="O37" s="61">
        <f t="shared" si="29"/>
        <v>52942.36</v>
      </c>
    </row>
    <row r="38" spans="1:162" x14ac:dyDescent="0.3">
      <c r="A38" s="59">
        <v>23</v>
      </c>
      <c r="B38" s="14" t="s">
        <v>64</v>
      </c>
      <c r="C38" s="94" t="s">
        <v>127</v>
      </c>
      <c r="D38" s="14" t="s">
        <v>81</v>
      </c>
      <c r="E38" s="14" t="s">
        <v>65</v>
      </c>
      <c r="F38" s="60" t="s">
        <v>13</v>
      </c>
      <c r="G38" s="16">
        <v>70000</v>
      </c>
      <c r="H38" s="16">
        <f t="shared" si="24"/>
        <v>5368.44</v>
      </c>
      <c r="I38" s="16">
        <v>25</v>
      </c>
      <c r="J38" s="16">
        <f t="shared" si="25"/>
        <v>2009</v>
      </c>
      <c r="K38" s="16">
        <f t="shared" si="26"/>
        <v>2128</v>
      </c>
      <c r="L38" s="16">
        <f t="shared" si="27"/>
        <v>4970</v>
      </c>
      <c r="M38" s="16">
        <f t="shared" si="30"/>
        <v>4963</v>
      </c>
      <c r="N38" s="16">
        <f t="shared" si="28"/>
        <v>717.6</v>
      </c>
      <c r="O38" s="61">
        <f t="shared" si="29"/>
        <v>60469.56</v>
      </c>
    </row>
    <row r="39" spans="1:162" x14ac:dyDescent="0.3">
      <c r="A39" s="59">
        <v>24</v>
      </c>
      <c r="B39" s="14" t="s">
        <v>71</v>
      </c>
      <c r="C39" s="94" t="s">
        <v>128</v>
      </c>
      <c r="D39" s="14" t="s">
        <v>82</v>
      </c>
      <c r="E39" s="67" t="s">
        <v>72</v>
      </c>
      <c r="F39" s="60" t="s">
        <v>13</v>
      </c>
      <c r="G39" s="16">
        <v>60000</v>
      </c>
      <c r="H39" s="16">
        <f t="shared" si="24"/>
        <v>3486.64</v>
      </c>
      <c r="I39" s="16">
        <v>25</v>
      </c>
      <c r="J39" s="16">
        <f t="shared" si="25"/>
        <v>1722</v>
      </c>
      <c r="K39" s="16">
        <f t="shared" si="26"/>
        <v>1824</v>
      </c>
      <c r="L39" s="16">
        <f t="shared" si="27"/>
        <v>4260</v>
      </c>
      <c r="M39" s="16">
        <f t="shared" si="30"/>
        <v>4254</v>
      </c>
      <c r="N39" s="16">
        <f t="shared" si="28"/>
        <v>690</v>
      </c>
      <c r="O39" s="61">
        <f t="shared" si="29"/>
        <v>52942.36</v>
      </c>
      <c r="S39" s="90"/>
      <c r="T39" s="90"/>
      <c r="U39" s="90"/>
      <c r="V39" s="90"/>
      <c r="W39" s="90"/>
      <c r="X39" s="90"/>
      <c r="Y39" s="90"/>
    </row>
    <row r="40" spans="1:162" x14ac:dyDescent="0.3">
      <c r="A40" s="59">
        <v>25</v>
      </c>
      <c r="B40" s="64" t="s">
        <v>52</v>
      </c>
      <c r="C40" s="95" t="s">
        <v>128</v>
      </c>
      <c r="D40" s="64" t="s">
        <v>76</v>
      </c>
      <c r="E40" s="64" t="s">
        <v>53</v>
      </c>
      <c r="F40" s="60" t="s">
        <v>13</v>
      </c>
      <c r="G40" s="10">
        <v>40000</v>
      </c>
      <c r="H40" s="16">
        <f t="shared" si="24"/>
        <v>442.65</v>
      </c>
      <c r="I40" s="10">
        <v>25</v>
      </c>
      <c r="J40" s="16">
        <f t="shared" si="25"/>
        <v>1148</v>
      </c>
      <c r="K40" s="16">
        <f t="shared" si="26"/>
        <v>1216</v>
      </c>
      <c r="L40" s="16">
        <f t="shared" si="27"/>
        <v>2840</v>
      </c>
      <c r="M40" s="16">
        <f t="shared" si="30"/>
        <v>2836</v>
      </c>
      <c r="N40" s="16">
        <f t="shared" si="28"/>
        <v>460</v>
      </c>
      <c r="O40" s="61">
        <f t="shared" ref="O40" si="31">+G40-I40-J147-K40-H40-J40</f>
        <v>37168.35</v>
      </c>
    </row>
    <row r="41" spans="1:162" s="90" customFormat="1" ht="22.5" x14ac:dyDescent="0.3">
      <c r="A41" s="139" t="s">
        <v>125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1"/>
      <c r="S41" s="56"/>
      <c r="T41" s="56"/>
      <c r="U41" s="56"/>
      <c r="V41" s="56"/>
      <c r="W41" s="56"/>
      <c r="X41" s="56"/>
      <c r="Y41" s="56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</row>
    <row r="42" spans="1:162" x14ac:dyDescent="0.3">
      <c r="A42" s="59">
        <v>26</v>
      </c>
      <c r="B42" s="14" t="s">
        <v>38</v>
      </c>
      <c r="C42" s="94" t="s">
        <v>128</v>
      </c>
      <c r="D42" s="14" t="s">
        <v>146</v>
      </c>
      <c r="E42" s="14" t="s">
        <v>39</v>
      </c>
      <c r="F42" s="60" t="s">
        <v>13</v>
      </c>
      <c r="G42" s="16">
        <v>165000</v>
      </c>
      <c r="H42" s="16">
        <f t="shared" ref="H42:H45" si="32">ROUND(IF(((G42-J42-K42)&gt;34685.01)*((G42-J42-K42)&lt;52027.43),(((G42-J42-K42)-34685.01)*0.15),+IF(((G42-J42-K42)&gt;52027.43)*((G42-J42-K42)&lt;72260.26),((((G42-J42-K42)-52027.43)*0.2)+2601.33),+IF((G42-J42-K42)&gt;72260.26,(((G42-J42-K42)-72260.26)*25%)+6648,0))),2)</f>
        <v>27463.46</v>
      </c>
      <c r="I42" s="16">
        <v>25</v>
      </c>
      <c r="J42" s="16">
        <f t="shared" ref="J42:J46" si="33">ROUND(IF((G42)&gt;(15600*20),((15600*20)*0.0287),(G42)*0.0287),2)</f>
        <v>4735.5</v>
      </c>
      <c r="K42" s="16">
        <f t="shared" ref="K42:K46" si="34">ROUND(IF((G42)&gt;(15600*10),((15600*10)*0.0304),(G42)*0.0304),2)</f>
        <v>4742.3999999999996</v>
      </c>
      <c r="L42" s="16">
        <f t="shared" ref="L42:L46" si="35">ROUND(IF((G42)&gt;(15600*20),((15600*20)*0.071),(G42)*0.071),2)</f>
        <v>11715</v>
      </c>
      <c r="M42" s="16">
        <f t="shared" ref="M42:M46" si="36">ROUND(IF((G42)&gt;(15600*10),((15600*10)*0.0709),(G42)*0.0709),2)</f>
        <v>11060.4</v>
      </c>
      <c r="N42" s="16">
        <f t="shared" ref="N42:N46" si="37">+ROUND(IF(G42&gt;(15600*4),((15600*4)*0.0115),G42*0.0115),2)</f>
        <v>717.6</v>
      </c>
      <c r="O42" s="61">
        <f>+G42-I42-J142-K42-H42-J42</f>
        <v>128033.64000000001</v>
      </c>
    </row>
    <row r="43" spans="1:162" x14ac:dyDescent="0.3">
      <c r="A43" s="59">
        <v>27</v>
      </c>
      <c r="B43" s="14" t="s">
        <v>69</v>
      </c>
      <c r="C43" s="94" t="s">
        <v>127</v>
      </c>
      <c r="D43" s="14" t="s">
        <v>83</v>
      </c>
      <c r="E43" s="67" t="s">
        <v>70</v>
      </c>
      <c r="F43" s="60" t="s">
        <v>13</v>
      </c>
      <c r="G43" s="16">
        <v>140000</v>
      </c>
      <c r="H43" s="16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6">
        <v>25</v>
      </c>
      <c r="J43" s="16">
        <f t="shared" si="33"/>
        <v>4018</v>
      </c>
      <c r="K43" s="16">
        <f t="shared" si="34"/>
        <v>4256</v>
      </c>
      <c r="L43" s="16">
        <f t="shared" si="35"/>
        <v>9940</v>
      </c>
      <c r="M43" s="16">
        <f t="shared" si="36"/>
        <v>9926</v>
      </c>
      <c r="N43" s="16">
        <f t="shared" si="37"/>
        <v>717.6</v>
      </c>
      <c r="O43" s="66">
        <f>+G43-H43-I43-J43-K43</f>
        <v>110186.56</v>
      </c>
    </row>
    <row r="44" spans="1:162" x14ac:dyDescent="0.3">
      <c r="A44" s="59">
        <v>28</v>
      </c>
      <c r="B44" s="14" t="s">
        <v>73</v>
      </c>
      <c r="C44" s="94" t="s">
        <v>127</v>
      </c>
      <c r="D44" s="14" t="s">
        <v>83</v>
      </c>
      <c r="E44" s="67" t="s">
        <v>74</v>
      </c>
      <c r="F44" s="60" t="s">
        <v>13</v>
      </c>
      <c r="G44" s="16">
        <v>60000</v>
      </c>
      <c r="H44" s="16">
        <f t="shared" si="32"/>
        <v>3486.64</v>
      </c>
      <c r="I44" s="16">
        <v>25</v>
      </c>
      <c r="J44" s="16">
        <f t="shared" si="33"/>
        <v>1722</v>
      </c>
      <c r="K44" s="16">
        <f t="shared" si="34"/>
        <v>1824</v>
      </c>
      <c r="L44" s="16">
        <f t="shared" si="35"/>
        <v>4260</v>
      </c>
      <c r="M44" s="16">
        <f t="shared" si="36"/>
        <v>4254</v>
      </c>
      <c r="N44" s="16">
        <f t="shared" si="37"/>
        <v>690</v>
      </c>
      <c r="O44" s="66">
        <f t="shared" ref="O44:O45" si="38">+G44-H44-I44-J44-K44</f>
        <v>52942.36</v>
      </c>
      <c r="S44" s="89"/>
      <c r="T44" s="89"/>
      <c r="U44" s="89"/>
      <c r="V44" s="89"/>
      <c r="W44" s="89"/>
      <c r="X44" s="89"/>
      <c r="Y44" s="89"/>
    </row>
    <row r="45" spans="1:162" x14ac:dyDescent="0.3">
      <c r="A45" s="59">
        <v>29</v>
      </c>
      <c r="B45" s="17" t="s">
        <v>75</v>
      </c>
      <c r="C45" s="104" t="s">
        <v>127</v>
      </c>
      <c r="D45" s="14" t="s">
        <v>83</v>
      </c>
      <c r="E45" s="68" t="s">
        <v>74</v>
      </c>
      <c r="F45" s="60" t="s">
        <v>13</v>
      </c>
      <c r="G45" s="16">
        <v>60000</v>
      </c>
      <c r="H45" s="16">
        <f t="shared" si="32"/>
        <v>3486.64</v>
      </c>
      <c r="I45" s="20">
        <v>25</v>
      </c>
      <c r="J45" s="16">
        <f t="shared" si="33"/>
        <v>1722</v>
      </c>
      <c r="K45" s="16">
        <f t="shared" si="34"/>
        <v>1824</v>
      </c>
      <c r="L45" s="16">
        <f t="shared" si="35"/>
        <v>4260</v>
      </c>
      <c r="M45" s="16">
        <f t="shared" si="36"/>
        <v>4254</v>
      </c>
      <c r="N45" s="16">
        <f t="shared" si="37"/>
        <v>690</v>
      </c>
      <c r="O45" s="69">
        <f t="shared" si="38"/>
        <v>52942.36</v>
      </c>
    </row>
    <row r="46" spans="1:162" s="89" customFormat="1" x14ac:dyDescent="0.3">
      <c r="A46" s="59">
        <v>30</v>
      </c>
      <c r="B46" s="14" t="s">
        <v>124</v>
      </c>
      <c r="C46" s="94" t="s">
        <v>128</v>
      </c>
      <c r="D46" s="55" t="s">
        <v>144</v>
      </c>
      <c r="E46" s="67" t="s">
        <v>123</v>
      </c>
      <c r="F46" s="60" t="s">
        <v>13</v>
      </c>
      <c r="G46" s="20">
        <v>55000</v>
      </c>
      <c r="H46" s="16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6">
        <v>25</v>
      </c>
      <c r="J46" s="16">
        <f t="shared" si="33"/>
        <v>1578.5</v>
      </c>
      <c r="K46" s="16">
        <f t="shared" si="34"/>
        <v>1672</v>
      </c>
      <c r="L46" s="16">
        <f t="shared" si="35"/>
        <v>3905</v>
      </c>
      <c r="M46" s="16">
        <f t="shared" si="36"/>
        <v>3899.5</v>
      </c>
      <c r="N46" s="16">
        <f t="shared" si="37"/>
        <v>632.5</v>
      </c>
      <c r="O46" s="61">
        <f>+G46-I46-J149-K46-H46-J46</f>
        <v>49164.83</v>
      </c>
      <c r="S46" s="90"/>
      <c r="T46" s="90"/>
      <c r="U46" s="90"/>
      <c r="V46" s="90"/>
      <c r="W46" s="90"/>
      <c r="X46" s="90"/>
      <c r="Y46" s="90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</row>
    <row r="47" spans="1:162" s="122" customFormat="1" x14ac:dyDescent="0.3">
      <c r="A47" s="59">
        <v>31</v>
      </c>
      <c r="B47" s="14" t="s">
        <v>42</v>
      </c>
      <c r="C47" s="94" t="s">
        <v>127</v>
      </c>
      <c r="D47" s="14" t="s">
        <v>145</v>
      </c>
      <c r="E47" s="14" t="s">
        <v>43</v>
      </c>
      <c r="F47" s="60" t="s">
        <v>13</v>
      </c>
      <c r="G47" s="16">
        <v>60000</v>
      </c>
      <c r="H47" s="16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6">
        <v>25</v>
      </c>
      <c r="J47" s="16">
        <f t="shared" ref="J47:J48" si="39">ROUND(IF((G47)&gt;(15600*20),((15600*20)*0.0287),(G47)*0.0287),2)</f>
        <v>1722</v>
      </c>
      <c r="K47" s="16">
        <f t="shared" ref="K47:K48" si="40">ROUND(IF((G47)&gt;(15600*10),((15600*10)*0.0304),(G47)*0.0304),2)</f>
        <v>1824</v>
      </c>
      <c r="L47" s="16">
        <f t="shared" ref="L47:L48" si="41">ROUND(IF((G47)&gt;(15600*20),((15600*20)*0.071),(G47)*0.071),2)</f>
        <v>4260</v>
      </c>
      <c r="M47" s="16">
        <f t="shared" ref="M47:M48" si="42">ROUND(IF((G47)&gt;(15600*10),((15600*10)*0.0709),(G47)*0.0709),2)</f>
        <v>4254</v>
      </c>
      <c r="N47" s="16">
        <f t="shared" ref="N47:N48" si="43">+ROUND(IF(G47&gt;(15600*4),((15600*4)*0.0115),G47*0.0115),2)</f>
        <v>690</v>
      </c>
      <c r="O47" s="61">
        <f>+G47-I47-J146-K47-H47-J47</f>
        <v>52942.36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</row>
    <row r="48" spans="1:162" x14ac:dyDescent="0.3">
      <c r="A48" s="59">
        <v>32</v>
      </c>
      <c r="B48" s="64" t="s">
        <v>154</v>
      </c>
      <c r="C48" s="95" t="s">
        <v>127</v>
      </c>
      <c r="D48" s="64" t="s">
        <v>144</v>
      </c>
      <c r="E48" s="131" t="s">
        <v>155</v>
      </c>
      <c r="F48" s="60" t="s">
        <v>13</v>
      </c>
      <c r="G48" s="10">
        <v>140000</v>
      </c>
      <c r="H48" s="16">
        <f t="shared" ref="H48" si="44"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21514.44</v>
      </c>
      <c r="I48" s="16">
        <v>25</v>
      </c>
      <c r="J48" s="16">
        <f t="shared" si="39"/>
        <v>4018</v>
      </c>
      <c r="K48" s="16">
        <f t="shared" si="40"/>
        <v>4256</v>
      </c>
      <c r="L48" s="16">
        <f t="shared" si="41"/>
        <v>9940</v>
      </c>
      <c r="M48" s="16">
        <f t="shared" si="42"/>
        <v>9926</v>
      </c>
      <c r="N48" s="16">
        <f t="shared" si="43"/>
        <v>717.6</v>
      </c>
      <c r="O48" s="61">
        <f t="shared" ref="O48" si="45">+G48-I48-J155-K48-H48-J48</f>
        <v>110186.56</v>
      </c>
    </row>
    <row r="49" spans="1:162" s="90" customFormat="1" ht="22.5" x14ac:dyDescent="0.3">
      <c r="A49" s="139" t="s">
        <v>143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</row>
    <row r="50" spans="1:162" x14ac:dyDescent="0.3">
      <c r="A50" s="59">
        <v>33</v>
      </c>
      <c r="B50" s="64" t="s">
        <v>61</v>
      </c>
      <c r="C50" s="95" t="s">
        <v>127</v>
      </c>
      <c r="D50" s="64" t="s">
        <v>156</v>
      </c>
      <c r="E50" s="64" t="s">
        <v>62</v>
      </c>
      <c r="F50" s="96" t="s">
        <v>13</v>
      </c>
      <c r="G50" s="10">
        <v>45000</v>
      </c>
      <c r="H50" s="10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1148.32</v>
      </c>
      <c r="I50" s="10">
        <v>25</v>
      </c>
      <c r="J50" s="16">
        <f>ROUND(IF((G50)&gt;(15600*20),((15600*20)*0.0287),(G50)*0.0287),2)</f>
        <v>1291.5</v>
      </c>
      <c r="K50" s="16">
        <f>ROUND(IF((G50)&gt;(15600*10),((15600*10)*0.0304),(G50)*0.0304),2)</f>
        <v>1368</v>
      </c>
      <c r="L50" s="16">
        <f>ROUND(IF((G50)&gt;(15600*20),((15600*20)*0.071),(G50)*0.071),2)</f>
        <v>3195</v>
      </c>
      <c r="M50" s="16">
        <f>ROUND(IF((G50)&gt;(15600*10),((15600*10)*0.0709),(G50)*0.0709),2)</f>
        <v>3190.5</v>
      </c>
      <c r="N50" s="16">
        <f t="shared" ref="N50" si="46">+ROUND(IF(G50&gt;(15600*4),((15600*4)*0.0115),G50*0.0115),2)</f>
        <v>517.5</v>
      </c>
      <c r="O50" s="65">
        <f>+G50-H50-I50-J50-K50</f>
        <v>41167.18</v>
      </c>
    </row>
    <row r="51" spans="1:162" s="90" customFormat="1" ht="22.5" x14ac:dyDescent="0.3">
      <c r="A51" s="139" t="s">
        <v>135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S51" s="56"/>
      <c r="T51" s="56"/>
      <c r="U51" s="56"/>
      <c r="V51" s="56"/>
      <c r="W51" s="56"/>
      <c r="X51" s="56"/>
      <c r="Y51" s="56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</row>
    <row r="52" spans="1:162" ht="19.5" thickBot="1" x14ac:dyDescent="0.35">
      <c r="A52" s="101">
        <v>34</v>
      </c>
      <c r="B52" s="70" t="s">
        <v>89</v>
      </c>
      <c r="C52" s="108" t="s">
        <v>128</v>
      </c>
      <c r="D52" s="102" t="s">
        <v>135</v>
      </c>
      <c r="E52" s="70" t="s">
        <v>136</v>
      </c>
      <c r="F52" s="71" t="s">
        <v>13</v>
      </c>
      <c r="G52" s="72">
        <v>50000</v>
      </c>
      <c r="H52" s="72">
        <f>ROUND(IF(((G52-J52-K52)&gt;34685.01)*((G52-J52-K52)&lt;52027.43),(((G52-J52-K52)-34685.01)*0.15),+IF(((G52-J52-K52)&gt;52027.43)*((G52-J52-K52)&lt;72260.26),((((G52-J52-K52)-52027.43)*0.2)+2601.33),+IF((G52-J52-K52)&gt;72260.26,(((G52-J52-K52)-72260.26)*25%)+6648,0))),2)</f>
        <v>1854</v>
      </c>
      <c r="I52" s="72">
        <v>25</v>
      </c>
      <c r="J52" s="16">
        <f>ROUND(IF((G52)&gt;(15600*20),((15600*20)*0.0287),(G52)*0.0287),2)</f>
        <v>1435</v>
      </c>
      <c r="K52" s="16">
        <f>ROUND(IF((G52)&gt;(15600*10),((15600*10)*0.0304),(G52)*0.0304),2)</f>
        <v>1520</v>
      </c>
      <c r="L52" s="16">
        <f>ROUND(IF((G52)&gt;(15600*20),((15600*20)*0.071),(G52)*0.071),2)</f>
        <v>3550</v>
      </c>
      <c r="M52" s="16">
        <f>ROUND(IF((G52)&gt;(15600*10),((15600*10)*0.0709),(G52)*0.0709),2)</f>
        <v>3545</v>
      </c>
      <c r="N52" s="16">
        <f t="shared" ref="N52" si="47">+ROUND(IF(G52&gt;(15600*4),((15600*4)*0.0115),G52*0.0115),2)</f>
        <v>575</v>
      </c>
      <c r="O52" s="103">
        <f>+G52-H52-I52-J52-K52</f>
        <v>45166</v>
      </c>
    </row>
    <row r="53" spans="1:162" ht="19.5" thickBot="1" x14ac:dyDescent="0.35">
      <c r="A53" s="136" t="s">
        <v>63</v>
      </c>
      <c r="B53" s="137"/>
      <c r="C53" s="137"/>
      <c r="D53" s="137"/>
      <c r="E53" s="137"/>
      <c r="F53" s="138"/>
      <c r="G53" s="115">
        <f>SUM(G11:G52)</f>
        <v>2591000</v>
      </c>
      <c r="H53" s="115">
        <f t="shared" ref="H53:O53" si="48">SUM(H11:H52)</f>
        <v>275944.94000000006</v>
      </c>
      <c r="I53" s="115">
        <f t="shared" si="48"/>
        <v>850</v>
      </c>
      <c r="J53" s="115">
        <f t="shared" si="48"/>
        <v>74361.7</v>
      </c>
      <c r="K53" s="115">
        <f t="shared" si="48"/>
        <v>75513.600000000006</v>
      </c>
      <c r="L53" s="115">
        <f t="shared" si="48"/>
        <v>183961</v>
      </c>
      <c r="M53" s="115">
        <f t="shared" si="48"/>
        <v>176115.59999999998</v>
      </c>
      <c r="N53" s="115">
        <f t="shared" si="48"/>
        <v>20210.099999999999</v>
      </c>
      <c r="O53" s="115">
        <f t="shared" si="48"/>
        <v>2164329.7600000007</v>
      </c>
    </row>
    <row r="54" spans="1:162" x14ac:dyDescent="0.3">
      <c r="B54" s="73"/>
      <c r="C54" s="73"/>
      <c r="D54" s="73"/>
      <c r="E54" s="73"/>
      <c r="F54" s="74"/>
      <c r="G54" s="74"/>
      <c r="H54" s="1"/>
      <c r="I54" s="30"/>
      <c r="J54" s="31"/>
      <c r="K54" s="31"/>
      <c r="L54" s="31"/>
      <c r="M54" s="31"/>
      <c r="N54" s="31"/>
      <c r="O54" s="31"/>
      <c r="P54" s="31"/>
    </row>
    <row r="55" spans="1:162" x14ac:dyDescent="0.3">
      <c r="A55" s="1"/>
      <c r="B55" s="1"/>
      <c r="C55" s="30"/>
      <c r="D55" s="1"/>
      <c r="E55" s="1" t="s">
        <v>30</v>
      </c>
      <c r="F55" s="1"/>
      <c r="G55" s="1"/>
      <c r="H55" s="75"/>
      <c r="I55" s="30"/>
      <c r="J55" s="58"/>
      <c r="K55" s="58"/>
      <c r="L55" s="1" t="s">
        <v>0</v>
      </c>
      <c r="M55" s="1"/>
      <c r="N55" s="76"/>
      <c r="O55" s="76"/>
      <c r="P55" s="76"/>
    </row>
    <row r="56" spans="1:162" ht="19.5" thickBot="1" x14ac:dyDescent="0.35">
      <c r="E56" s="3" t="s">
        <v>31</v>
      </c>
      <c r="F56" s="77">
        <f>+G53+L53+M53+N53</f>
        <v>2971286.7</v>
      </c>
      <c r="G56" s="78"/>
      <c r="H56" s="78"/>
      <c r="K56" s="31"/>
      <c r="L56" s="75"/>
      <c r="M56" s="75"/>
      <c r="N56" s="75"/>
      <c r="O56" s="1"/>
      <c r="P56" s="76"/>
    </row>
    <row r="57" spans="1:162" ht="19.5" thickTop="1" x14ac:dyDescent="0.3">
      <c r="E57" s="3"/>
      <c r="F57" s="79"/>
      <c r="G57" s="78"/>
      <c r="H57" s="78"/>
      <c r="K57" s="31"/>
      <c r="L57" s="75"/>
      <c r="M57" s="75"/>
      <c r="N57" s="75"/>
      <c r="O57" s="1"/>
      <c r="P57" s="76"/>
    </row>
    <row r="58" spans="1:162" s="120" customFormat="1" x14ac:dyDescent="0.3">
      <c r="C58" s="106"/>
      <c r="E58" s="3"/>
      <c r="F58" s="79"/>
      <c r="G58" s="78"/>
      <c r="H58" s="78"/>
      <c r="K58" s="31"/>
      <c r="L58" s="75"/>
      <c r="M58" s="75"/>
      <c r="N58" s="75"/>
      <c r="O58" s="1"/>
      <c r="P58" s="76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</row>
    <row r="59" spans="1:162" x14ac:dyDescent="0.3">
      <c r="A59" s="1"/>
      <c r="B59" s="1"/>
      <c r="C59" s="30"/>
      <c r="D59" s="1"/>
      <c r="E59" s="1"/>
      <c r="F59" s="1"/>
      <c r="G59" s="1"/>
      <c r="H59" s="1"/>
      <c r="I59" s="30" t="s">
        <v>32</v>
      </c>
      <c r="J59" s="76"/>
      <c r="K59" s="76"/>
      <c r="L59" s="75"/>
      <c r="M59" s="75"/>
      <c r="N59" s="1"/>
      <c r="O59" s="1"/>
      <c r="P59" s="1"/>
    </row>
    <row r="60" spans="1:162" x14ac:dyDescent="0.3">
      <c r="A60" s="1"/>
      <c r="B60" s="1"/>
      <c r="C60" s="30"/>
      <c r="D60" s="1"/>
      <c r="E60" s="1"/>
      <c r="F60" s="1"/>
      <c r="G60" s="30"/>
      <c r="H60" s="37"/>
      <c r="I60" s="1"/>
      <c r="J60" s="75"/>
      <c r="K60" s="75"/>
      <c r="L60" s="1"/>
      <c r="M60" s="1"/>
      <c r="N60" s="1"/>
    </row>
    <row r="61" spans="1:162" x14ac:dyDescent="0.3">
      <c r="B61" s="1"/>
      <c r="C61" s="30"/>
      <c r="D61" s="28"/>
      <c r="E61" s="30"/>
      <c r="F61" s="38"/>
      <c r="G61" s="38"/>
      <c r="H61" s="38"/>
      <c r="I61" s="1"/>
      <c r="J61" s="1"/>
      <c r="K61" s="75"/>
      <c r="L61" s="1"/>
      <c r="M61" s="1"/>
      <c r="N61" s="1"/>
    </row>
    <row r="62" spans="1:162" ht="19.5" thickBot="1" x14ac:dyDescent="0.35">
      <c r="B62" s="39"/>
      <c r="C62" s="109"/>
      <c r="E62" s="42"/>
      <c r="F62" s="38"/>
      <c r="G62" s="41"/>
      <c r="H62" s="42"/>
      <c r="I62" s="38"/>
      <c r="J62" s="38"/>
      <c r="K62" s="1"/>
    </row>
    <row r="63" spans="1:162" x14ac:dyDescent="0.3">
      <c r="B63" s="43" t="s">
        <v>86</v>
      </c>
      <c r="C63" s="43"/>
      <c r="E63" s="43" t="s">
        <v>87</v>
      </c>
      <c r="G63" s="146" t="s">
        <v>85</v>
      </c>
      <c r="H63" s="146"/>
      <c r="I63" s="124"/>
      <c r="J63" s="124"/>
      <c r="K63" s="38"/>
      <c r="L63" s="1"/>
      <c r="M63" s="1"/>
    </row>
    <row r="64" spans="1:162" x14ac:dyDescent="0.3">
      <c r="B64" s="56" t="s">
        <v>98</v>
      </c>
      <c r="E64" s="56" t="s">
        <v>97</v>
      </c>
      <c r="G64" s="133" t="s">
        <v>99</v>
      </c>
      <c r="H64" s="133"/>
      <c r="I64" s="123"/>
      <c r="J64" s="123"/>
      <c r="K64" s="38"/>
      <c r="L64" s="38"/>
      <c r="M64" s="1"/>
      <c r="N64" s="1"/>
    </row>
    <row r="65" spans="1:14" x14ac:dyDescent="0.3">
      <c r="D65" s="1"/>
      <c r="M65" s="75"/>
      <c r="N65" s="1"/>
    </row>
    <row r="66" spans="1:14" x14ac:dyDescent="0.3">
      <c r="A66" s="1"/>
      <c r="B66" s="1"/>
      <c r="C66" s="30"/>
      <c r="D66" s="1"/>
      <c r="E66" s="1"/>
      <c r="F66" s="30"/>
      <c r="G66" s="30"/>
      <c r="H66" s="30"/>
      <c r="M66" s="75"/>
      <c r="N66" s="1"/>
    </row>
    <row r="67" spans="1:14" x14ac:dyDescent="0.3">
      <c r="A67" s="1"/>
      <c r="E67" s="28"/>
      <c r="F67" s="30"/>
      <c r="G67" s="38"/>
      <c r="H67" s="38"/>
    </row>
    <row r="68" spans="1:14" x14ac:dyDescent="0.3">
      <c r="A68" s="1"/>
    </row>
    <row r="69" spans="1:14" x14ac:dyDescent="0.3">
      <c r="A69" s="1"/>
    </row>
    <row r="70" spans="1:14" x14ac:dyDescent="0.3">
      <c r="A70" s="1"/>
    </row>
    <row r="71" spans="1:14" x14ac:dyDescent="0.3">
      <c r="A71" s="1"/>
      <c r="B71" s="28"/>
    </row>
    <row r="72" spans="1:14" x14ac:dyDescent="0.3">
      <c r="B72" s="28"/>
      <c r="D72" s="43"/>
    </row>
    <row r="73" spans="1:14" x14ac:dyDescent="0.3">
      <c r="B73" s="43"/>
      <c r="C73" s="43"/>
    </row>
  </sheetData>
  <mergeCells count="15">
    <mergeCell ref="G64:H64"/>
    <mergeCell ref="A8:O8"/>
    <mergeCell ref="A6:O6"/>
    <mergeCell ref="A53:F53"/>
    <mergeCell ref="A32:O32"/>
    <mergeCell ref="A28:O28"/>
    <mergeCell ref="A15:O15"/>
    <mergeCell ref="A24:O24"/>
    <mergeCell ref="A10:O10"/>
    <mergeCell ref="A41:O41"/>
    <mergeCell ref="A49:O49"/>
    <mergeCell ref="A51:O51"/>
    <mergeCell ref="A17:O17"/>
    <mergeCell ref="A7:O7"/>
    <mergeCell ref="G63:H63"/>
  </mergeCells>
  <printOptions horizontalCentered="1"/>
  <pageMargins left="0.25" right="0.25" top="0.75" bottom="0.75" header="0.3" footer="0.3"/>
  <pageSetup paperSize="5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51"/>
  <sheetViews>
    <sheetView showGridLines="0" topLeftCell="A22" zoomScale="70" zoomScaleNormal="70" workbookViewId="0"/>
  </sheetViews>
  <sheetFormatPr baseColWidth="10" defaultColWidth="11.42578125" defaultRowHeight="18.75" x14ac:dyDescent="0.3"/>
  <cols>
    <col min="1" max="1" width="6.42578125" style="5" bestFit="1" customWidth="1"/>
    <col min="2" max="2" width="50.7109375" style="5" customWidth="1"/>
    <col min="3" max="3" width="20.7109375" style="90" customWidth="1"/>
    <col min="4" max="4" width="50.7109375" style="5" customWidth="1"/>
    <col min="5" max="5" width="55.7109375" style="28" customWidth="1"/>
    <col min="6" max="17" width="23.7109375" style="5" customWidth="1"/>
    <col min="18" max="18" width="24.28515625" style="5" customWidth="1"/>
    <col min="19" max="16384" width="11.42578125" style="5"/>
  </cols>
  <sheetData>
    <row r="2" spans="1:17" s="120" customFormat="1" x14ac:dyDescent="0.3">
      <c r="E2" s="28"/>
    </row>
    <row r="5" spans="1:17" x14ac:dyDescent="0.3">
      <c r="A5" s="1"/>
      <c r="B5" s="1"/>
      <c r="C5" s="1"/>
      <c r="D5" s="1"/>
      <c r="E5" s="2"/>
      <c r="F5" s="3"/>
      <c r="G5" s="3"/>
      <c r="H5" s="3"/>
      <c r="I5" s="3"/>
      <c r="J5" s="4"/>
      <c r="K5" s="3"/>
      <c r="L5" s="3"/>
      <c r="M5" s="3"/>
      <c r="N5" s="1"/>
      <c r="O5" s="3"/>
      <c r="P5" s="1"/>
      <c r="Q5" s="1"/>
    </row>
    <row r="6" spans="1:17" x14ac:dyDescent="0.3">
      <c r="A6" s="135" t="s">
        <v>44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</row>
    <row r="7" spans="1:17" x14ac:dyDescent="0.3">
      <c r="A7" s="145" t="s">
        <v>157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1:17" ht="19.5" thickBot="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s="130" customFormat="1" ht="60" customHeight="1" thickBot="1" x14ac:dyDescent="0.4">
      <c r="A9" s="128" t="s">
        <v>3</v>
      </c>
      <c r="B9" s="129" t="s">
        <v>88</v>
      </c>
      <c r="C9" s="128" t="s">
        <v>141</v>
      </c>
      <c r="D9" s="129" t="s">
        <v>90</v>
      </c>
      <c r="E9" s="128" t="s">
        <v>4</v>
      </c>
      <c r="F9" s="128" t="s">
        <v>45</v>
      </c>
      <c r="G9" s="128" t="s">
        <v>46</v>
      </c>
      <c r="H9" s="128" t="s">
        <v>47</v>
      </c>
      <c r="I9" s="129" t="s">
        <v>147</v>
      </c>
      <c r="J9" s="128" t="s">
        <v>140</v>
      </c>
      <c r="K9" s="129" t="s">
        <v>6</v>
      </c>
      <c r="L9" s="128" t="s">
        <v>48</v>
      </c>
      <c r="M9" s="129" t="s">
        <v>49</v>
      </c>
      <c r="N9" s="128" t="s">
        <v>50</v>
      </c>
      <c r="O9" s="129" t="s">
        <v>51</v>
      </c>
      <c r="P9" s="128" t="s">
        <v>11</v>
      </c>
      <c r="Q9" s="128" t="s">
        <v>12</v>
      </c>
    </row>
    <row r="10" spans="1:17" s="90" customFormat="1" ht="22.5" x14ac:dyDescent="0.3">
      <c r="A10" s="152" t="s">
        <v>148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</row>
    <row r="11" spans="1:17" x14ac:dyDescent="0.3">
      <c r="A11" s="6">
        <v>1</v>
      </c>
      <c r="B11" s="64" t="s">
        <v>97</v>
      </c>
      <c r="C11" s="64" t="s">
        <v>128</v>
      </c>
      <c r="D11" s="64" t="s">
        <v>79</v>
      </c>
      <c r="E11" s="7" t="s">
        <v>100</v>
      </c>
      <c r="F11" s="8" t="s">
        <v>95</v>
      </c>
      <c r="G11" s="105">
        <v>44287</v>
      </c>
      <c r="H11" s="105">
        <v>44652</v>
      </c>
      <c r="I11" s="10">
        <v>140000</v>
      </c>
      <c r="J11" s="11">
        <f t="shared" ref="J11" si="0">ROUND(IF(((I11-L11-M11)&gt;34685.01)*((I11-L11-M11)&lt;52027.43),(((I11-L11-M11)-34685.01)*0.15),+IF(((I11-L11-M11)&gt;52027.43)*((I11-L11-M11)&lt;72260.26),((((I11-L11-M11)-52027.43)*0.2)+2601.33),+IF((I11-L11-M11)&gt;72260.26,(((I11-L11-M11)-72260.26)*25%)+6648,0))),2)</f>
        <v>21514.44</v>
      </c>
      <c r="K11" s="10">
        <v>25</v>
      </c>
      <c r="L11" s="16">
        <f t="shared" ref="L11:L14" si="1">ROUND(IF((I11)&gt;(15600*20),((15600*20)*0.0287),(I11)*0.0287),2)</f>
        <v>4018</v>
      </c>
      <c r="M11" s="10">
        <f>ROUND(IF((I11)&gt;(15600*10),((15600*10)*0.0304),(I11)*0.0304),2)</f>
        <v>4256</v>
      </c>
      <c r="N11" s="10">
        <f t="shared" ref="N11:N14" si="2">ROUND(IF((I11)&gt;(15600*20),((15600*20)*0.071),(I11)*0.071),2)</f>
        <v>9940</v>
      </c>
      <c r="O11" s="10">
        <f>ROUND(IF((I11)&gt;(15600*10),((15600*10)*0.0709),(I11)*0.0709),2)</f>
        <v>9926</v>
      </c>
      <c r="P11" s="12">
        <f>+ROUND(IF(I11&gt;(15600*4),((15600*4)*0.0115),I11*0.0115),2)</f>
        <v>717.6</v>
      </c>
      <c r="Q11" s="13">
        <f>+I11-J11-K11-L11-M11</f>
        <v>110186.56</v>
      </c>
    </row>
    <row r="12" spans="1:17" x14ac:dyDescent="0.3">
      <c r="A12" s="6">
        <v>2</v>
      </c>
      <c r="B12" s="14" t="s">
        <v>101</v>
      </c>
      <c r="C12" s="14" t="s">
        <v>128</v>
      </c>
      <c r="D12" s="14" t="s">
        <v>150</v>
      </c>
      <c r="E12" s="54" t="s">
        <v>102</v>
      </c>
      <c r="F12" s="132" t="s">
        <v>95</v>
      </c>
      <c r="G12" s="15">
        <v>44293</v>
      </c>
      <c r="H12" s="15">
        <v>44658</v>
      </c>
      <c r="I12" s="16">
        <v>115000</v>
      </c>
      <c r="J12" s="112">
        <f>ROUND(IF(((I12-L12-M12)&gt;34685.01)*((I12-L12-M12)&lt;52027.43),(((I12-L12-M12)-34685.01)*0.15),+IF(((I12-L12-M12)&gt;52027.43)*((I12-L12-M12)&lt;72260.26),((((I12-L12-M12)-52027.43)*0.2)+2601.33),+IF((I12-L12-M12)&gt;72260.26,(((I12-L12-M12)-72260.26)*25%)+6648,0))),2)</f>
        <v>15633.81</v>
      </c>
      <c r="K12" s="16">
        <v>25</v>
      </c>
      <c r="L12" s="16">
        <f t="shared" si="1"/>
        <v>3300.5</v>
      </c>
      <c r="M12" s="10">
        <f t="shared" ref="M12:M14" si="3">ROUND(IF((I12)&gt;(15600*10),((15600*10)*0.0304),(I12)*0.0304),2)</f>
        <v>3496</v>
      </c>
      <c r="N12" s="10">
        <f t="shared" si="2"/>
        <v>8165</v>
      </c>
      <c r="O12" s="10">
        <f t="shared" ref="O12:O14" si="4">ROUND(IF((I12)&gt;(15600*10),((15600*10)*0.0709),(I12)*0.0709),2)</f>
        <v>8153.5</v>
      </c>
      <c r="P12" s="12">
        <f t="shared" ref="P12:P14" si="5">+ROUND(IF(I12&gt;(15600*4),((15600*4)*0.0115),I12*0.0115),2)</f>
        <v>717.6</v>
      </c>
      <c r="Q12" s="113">
        <f>+I12-J12-K12-L12-M12</f>
        <v>92544.69</v>
      </c>
    </row>
    <row r="13" spans="1:17" x14ac:dyDescent="0.3">
      <c r="A13" s="6">
        <v>3</v>
      </c>
      <c r="B13" s="64" t="s">
        <v>104</v>
      </c>
      <c r="C13" s="64" t="s">
        <v>128</v>
      </c>
      <c r="D13" s="64" t="s">
        <v>79</v>
      </c>
      <c r="E13" s="7" t="s">
        <v>105</v>
      </c>
      <c r="F13" s="8" t="s">
        <v>95</v>
      </c>
      <c r="G13" s="9">
        <v>44389</v>
      </c>
      <c r="H13" s="9">
        <v>44754</v>
      </c>
      <c r="I13" s="10">
        <v>115000</v>
      </c>
      <c r="J13" s="11">
        <f t="shared" ref="J13" si="6">ROUND(IF(((I13-L13-M13)&gt;34685.01)*((I13-L13-M13)&lt;52027.43),(((I13-L13-M13)-34685.01)*0.15),+IF(((I13-L13-M13)&gt;52027.43)*((I13-L13-M13)&lt;72260.26),((((I13-L13-M13)-52027.43)*0.2)+2601.33),+IF((I13-L13-M13)&gt;72260.26,(((I13-L13-M13)-72260.26)*25%)+6648,0))),2)</f>
        <v>15633.81</v>
      </c>
      <c r="K13" s="10">
        <v>25</v>
      </c>
      <c r="L13" s="16">
        <f t="shared" si="1"/>
        <v>3300.5</v>
      </c>
      <c r="M13" s="10">
        <f t="shared" si="3"/>
        <v>3496</v>
      </c>
      <c r="N13" s="10">
        <f t="shared" si="2"/>
        <v>8165</v>
      </c>
      <c r="O13" s="10">
        <f t="shared" si="4"/>
        <v>8153.5</v>
      </c>
      <c r="P13" s="12">
        <f t="shared" si="5"/>
        <v>717.6</v>
      </c>
      <c r="Q13" s="13">
        <f t="shared" ref="Q13:Q14" si="7">+I13-J13-K13-L13-M13</f>
        <v>92544.69</v>
      </c>
    </row>
    <row r="14" spans="1:17" s="51" customFormat="1" x14ac:dyDescent="0.25">
      <c r="A14" s="6">
        <v>4</v>
      </c>
      <c r="B14" s="46" t="s">
        <v>108</v>
      </c>
      <c r="C14" s="46" t="s">
        <v>128</v>
      </c>
      <c r="D14" s="46" t="s">
        <v>150</v>
      </c>
      <c r="E14" s="47" t="s">
        <v>109</v>
      </c>
      <c r="F14" s="46" t="s">
        <v>95</v>
      </c>
      <c r="G14" s="48">
        <v>44409</v>
      </c>
      <c r="H14" s="48">
        <v>44774</v>
      </c>
      <c r="I14" s="49">
        <v>71000</v>
      </c>
      <c r="J14" s="49">
        <f>ROUND(IF(((I14-L14-M14)&gt;34685.01)*((I14-L14-M14)&lt;52027.43),(((I14-L14-M14)-34685.01)*0.15),+IF(((I14-L14-M14)&gt;52027.43)*((I14-L14-M14)&lt;72260.26),((((I14-L14-M14)-52027.43)*0.2)+2601.33),+IF((I14-L14-M14)&gt;72260.26,(((I14-L14-M14)-72260.26)*25%)+6648,0))),2)</f>
        <v>5556.62</v>
      </c>
      <c r="K14" s="49">
        <v>25</v>
      </c>
      <c r="L14" s="16">
        <f t="shared" si="1"/>
        <v>2037.7</v>
      </c>
      <c r="M14" s="10">
        <f t="shared" si="3"/>
        <v>2158.4</v>
      </c>
      <c r="N14" s="10">
        <f t="shared" si="2"/>
        <v>5041</v>
      </c>
      <c r="O14" s="10">
        <f t="shared" si="4"/>
        <v>5033.8999999999996</v>
      </c>
      <c r="P14" s="12">
        <f t="shared" si="5"/>
        <v>717.6</v>
      </c>
      <c r="Q14" s="50">
        <f t="shared" si="7"/>
        <v>61222.28</v>
      </c>
    </row>
    <row r="15" spans="1:17" s="90" customFormat="1" ht="22.5" x14ac:dyDescent="0.3">
      <c r="A15" s="155" t="s">
        <v>161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7"/>
    </row>
    <row r="16" spans="1:17" x14ac:dyDescent="0.3">
      <c r="A16" s="6">
        <v>5</v>
      </c>
      <c r="B16" s="14" t="s">
        <v>106</v>
      </c>
      <c r="C16" s="14" t="s">
        <v>127</v>
      </c>
      <c r="D16" s="14" t="s">
        <v>78</v>
      </c>
      <c r="E16" s="7" t="s">
        <v>107</v>
      </c>
      <c r="F16" s="8" t="s">
        <v>95</v>
      </c>
      <c r="G16" s="9">
        <v>44208</v>
      </c>
      <c r="H16" s="9">
        <v>44754</v>
      </c>
      <c r="I16" s="10">
        <v>140000</v>
      </c>
      <c r="J16" s="11">
        <f t="shared" ref="J16" si="8">ROUND(IF(((I16-L16-M16)&gt;34685.01)*((I16-L16-M16)&lt;52027.43),(((I16-L16-M16)-34685.01)*0.15),+IF(((I16-L16-M16)&gt;52027.43)*((I16-L16-M16)&lt;72260.26),((((I16-L16-M16)-52027.43)*0.2)+2601.33),+IF((I16-L16-M16)&gt;72260.26,(((I16-L16-M16)-72260.26)*25%)+6648,0))),2)</f>
        <v>21514.44</v>
      </c>
      <c r="K16" s="10">
        <v>25</v>
      </c>
      <c r="L16" s="16">
        <f t="shared" ref="L16:L17" si="9">ROUND(IF((I16)&gt;(15600*20),((15600*20)*0.0287),(I16)*0.0287),2)</f>
        <v>4018</v>
      </c>
      <c r="M16" s="10">
        <f t="shared" ref="M16:M17" si="10">ROUND(IF((I16)&gt;(15600*10),((15600*10)*0.0304),(I16)*0.0304),2)</f>
        <v>4256</v>
      </c>
      <c r="N16" s="10">
        <f t="shared" ref="N16:N17" si="11">ROUND(IF((I16)&gt;(15600*20),((15600*20)*0.071),(I16)*0.071),2)</f>
        <v>9940</v>
      </c>
      <c r="O16" s="10">
        <f t="shared" ref="O16:O17" si="12">ROUND(IF((I16)&gt;(15600*10),((15600*10)*0.0709),(I16)*0.0709),2)</f>
        <v>9926</v>
      </c>
      <c r="P16" s="12">
        <f t="shared" ref="P16:P17" si="13">+ROUND(IF(I16&gt;(15600*4),((15600*4)*0.0115),I16*0.0115),2)</f>
        <v>717.6</v>
      </c>
      <c r="Q16" s="13">
        <f t="shared" ref="Q16" si="14">+I16-J16-K16-L16-M16</f>
        <v>110186.56</v>
      </c>
    </row>
    <row r="17" spans="1:17" x14ac:dyDescent="0.3">
      <c r="A17" s="93">
        <v>6</v>
      </c>
      <c r="B17" s="24" t="s">
        <v>93</v>
      </c>
      <c r="C17" s="24" t="s">
        <v>128</v>
      </c>
      <c r="D17" s="25" t="s">
        <v>78</v>
      </c>
      <c r="E17" s="18" t="s">
        <v>94</v>
      </c>
      <c r="F17" s="19" t="s">
        <v>95</v>
      </c>
      <c r="G17" s="26">
        <v>44317</v>
      </c>
      <c r="H17" s="26">
        <v>44682</v>
      </c>
      <c r="I17" s="22">
        <v>50000</v>
      </c>
      <c r="J17" s="21">
        <f>ROUND(IF(((I17-L17-M17)&gt;34685.01)*((I17-L17-M17)&lt;52027.43),(((I17-L17-M17)-34685.01)*0.15),+IF(((I17-L17-M17)&gt;52027.43)*((I17-L17-M17)&lt;72260.26),((((I17-L17-M17)-52027.43)*0.2)+2601.33),+IF((I17-L17-M17)&gt;72260.26,(((I17-L17-M17)-72260.26)*25%)+6648,0))),2)</f>
        <v>1854</v>
      </c>
      <c r="K17" s="22">
        <v>25</v>
      </c>
      <c r="L17" s="16">
        <f t="shared" si="9"/>
        <v>1435</v>
      </c>
      <c r="M17" s="10">
        <f t="shared" si="10"/>
        <v>1520</v>
      </c>
      <c r="N17" s="10">
        <f t="shared" si="11"/>
        <v>3550</v>
      </c>
      <c r="O17" s="10">
        <f t="shared" si="12"/>
        <v>3545</v>
      </c>
      <c r="P17" s="12">
        <f t="shared" si="13"/>
        <v>575</v>
      </c>
      <c r="Q17" s="91">
        <f>+I17-J17-K17-L17-M17</f>
        <v>45166</v>
      </c>
    </row>
    <row r="18" spans="1:17" s="90" customFormat="1" ht="22.5" x14ac:dyDescent="0.3">
      <c r="A18" s="155" t="s">
        <v>159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</row>
    <row r="19" spans="1:17" s="52" customFormat="1" x14ac:dyDescent="0.3">
      <c r="A19" s="6">
        <v>7</v>
      </c>
      <c r="B19" s="24" t="s">
        <v>130</v>
      </c>
      <c r="C19" s="24" t="s">
        <v>128</v>
      </c>
      <c r="D19" s="24" t="s">
        <v>114</v>
      </c>
      <c r="E19" s="18" t="s">
        <v>115</v>
      </c>
      <c r="F19" s="18" t="s">
        <v>95</v>
      </c>
      <c r="G19" s="53">
        <v>44470</v>
      </c>
      <c r="H19" s="53">
        <v>44835</v>
      </c>
      <c r="I19" s="22">
        <v>60000</v>
      </c>
      <c r="J19" s="21">
        <f>ROUND(IF(((I19-L19-M19)&gt;34685.01)*((I19-L19-M19)&lt;52027.43),(((I19-L19-M19)-34685.01)*0.15),+IF(((I19-L19-M19)&gt;52027.43)*((I19-L19-M19)&lt;72260.26),((((I19-L19-M19)-52027.43)*0.2)+2601.33),+IF((I19-L19-M19)&gt;72260.26,(((I19-L19-M19)-72260.26)*25%)+6648,0))),2)</f>
        <v>3486.64</v>
      </c>
      <c r="K19" s="22">
        <v>25</v>
      </c>
      <c r="L19" s="22">
        <f>ROUND(IF((I19)&gt;(15600*20),((15600*20)*0.0287),(I19)*0.0287),2)</f>
        <v>1722</v>
      </c>
      <c r="M19" s="10">
        <f>ROUND(IF((I19)&gt;(15600*10),((15600*10)*0.0304),(I19)*0.0304),2)</f>
        <v>1824</v>
      </c>
      <c r="N19" s="10">
        <f>ROUND(IF((I19)&gt;(15600*20),((15600*20)*0.071),(I19)*0.071),2)</f>
        <v>4260</v>
      </c>
      <c r="O19" s="10">
        <f>ROUND(IF((I19)&gt;(15600*10),((15600*10)*0.0709),(I19)*0.0709),2)</f>
        <v>4254</v>
      </c>
      <c r="P19" s="12">
        <f>+ROUND(IF(I19&gt;(15600*4),((15600*4)*0.0115),I19*0.0115),2)</f>
        <v>690</v>
      </c>
      <c r="Q19" s="91">
        <f>+I19-J19-K19-L19-M19</f>
        <v>52942.36</v>
      </c>
    </row>
    <row r="20" spans="1:17" s="90" customFormat="1" ht="22.5" x14ac:dyDescent="0.3">
      <c r="A20" s="139" t="s">
        <v>160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</row>
    <row r="21" spans="1:17" s="52" customFormat="1" x14ac:dyDescent="0.3">
      <c r="A21" s="6">
        <v>8</v>
      </c>
      <c r="B21" s="14" t="s">
        <v>111</v>
      </c>
      <c r="C21" s="14" t="s">
        <v>128</v>
      </c>
      <c r="D21" s="55" t="s">
        <v>113</v>
      </c>
      <c r="E21" s="14" t="s">
        <v>112</v>
      </c>
      <c r="F21" s="54" t="s">
        <v>95</v>
      </c>
      <c r="G21" s="15">
        <v>44447</v>
      </c>
      <c r="H21" s="15">
        <v>44812</v>
      </c>
      <c r="I21" s="16">
        <v>86000</v>
      </c>
      <c r="J21" s="16">
        <f>ROUND(IF(((I21-L21-M21)&gt;34685.01)*((I21-L21-M21)&lt;52027.43),(((I21-L21-M21)-34685.01)*0.15),+IF(((I21-L21-M21)&gt;52027.43)*((I21-L21-M21)&lt;72260.26),((((I21-L21-M21)-52027.43)*0.2)+2601.33),+IF((I21-L21-M21)&gt;72260.26,(((I21-L21-M21)-72260.26)*25%)+6648,0))),2)</f>
        <v>8812.2900000000009</v>
      </c>
      <c r="K21" s="16">
        <v>25</v>
      </c>
      <c r="L21" s="16">
        <f t="shared" ref="L21:L22" si="15">ROUND(IF((I21)&gt;(15600*20),((15600*20)*0.0287),(I21)*0.0287),2)</f>
        <v>2468.1999999999998</v>
      </c>
      <c r="M21" s="10">
        <f t="shared" ref="M21:M22" si="16">ROUND(IF((I21)&gt;(15600*10),((15600*10)*0.0304),(I21)*0.0304),2)</f>
        <v>2614.4</v>
      </c>
      <c r="N21" s="10">
        <f t="shared" ref="N21:N22" si="17">ROUND(IF((I21)&gt;(15600*20),((15600*20)*0.071),(I21)*0.071),2)</f>
        <v>6106</v>
      </c>
      <c r="O21" s="10">
        <f t="shared" ref="O21:O22" si="18">ROUND(IF((I21)&gt;(15600*10),((15600*10)*0.0709),(I21)*0.0709),2)</f>
        <v>6097.4</v>
      </c>
      <c r="P21" s="12">
        <f t="shared" ref="P21:P22" si="19">+ROUND(IF(I21&gt;(15600*4),((15600*4)*0.0115),I21*0.0115),2)</f>
        <v>717.6</v>
      </c>
      <c r="Q21" s="23">
        <f t="shared" ref="Q21:Q22" si="20">+I21-J21-K21-L21-M21</f>
        <v>72080.11</v>
      </c>
    </row>
    <row r="22" spans="1:17" s="89" customFormat="1" x14ac:dyDescent="0.3">
      <c r="A22" s="6">
        <v>9</v>
      </c>
      <c r="B22" s="14" t="s">
        <v>119</v>
      </c>
      <c r="C22" s="14" t="s">
        <v>127</v>
      </c>
      <c r="D22" s="55" t="s">
        <v>120</v>
      </c>
      <c r="E22" s="55" t="s">
        <v>112</v>
      </c>
      <c r="F22" s="54" t="s">
        <v>95</v>
      </c>
      <c r="G22" s="15">
        <v>44531</v>
      </c>
      <c r="H22" s="15">
        <v>44896</v>
      </c>
      <c r="I22" s="16">
        <v>70000</v>
      </c>
      <c r="J22" s="16">
        <f t="shared" ref="J22" si="21">ROUND(IF(((I22-L22-M22)&gt;34685.01)*((I22-L22-M22)&lt;52027.43),(((I22-L22-M22)-34685.01)*0.15),+IF(((I22-L22-M22)&gt;52027.43)*((I22-L22-M22)&lt;72260.26),((((I22-L22-M22)-52027.43)*0.2)+2601.33),+IF((I22-L22-M22)&gt;72260.26,(((I22-L22-M22)-72260.26)*25%)+6648,0))),2)</f>
        <v>5368.44</v>
      </c>
      <c r="K22" s="16">
        <v>25</v>
      </c>
      <c r="L22" s="16">
        <f t="shared" si="15"/>
        <v>2009</v>
      </c>
      <c r="M22" s="10">
        <f t="shared" si="16"/>
        <v>2128</v>
      </c>
      <c r="N22" s="10">
        <f t="shared" si="17"/>
        <v>4970</v>
      </c>
      <c r="O22" s="10">
        <f t="shared" si="18"/>
        <v>4963</v>
      </c>
      <c r="P22" s="12">
        <f t="shared" si="19"/>
        <v>717.6</v>
      </c>
      <c r="Q22" s="23">
        <f t="shared" si="20"/>
        <v>60469.56</v>
      </c>
    </row>
    <row r="23" spans="1:17" s="90" customFormat="1" ht="22.5" x14ac:dyDescent="0.3">
      <c r="A23" s="155" t="s">
        <v>134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</row>
    <row r="24" spans="1:17" x14ac:dyDescent="0.3">
      <c r="A24" s="6">
        <v>10</v>
      </c>
      <c r="B24" s="64" t="s">
        <v>103</v>
      </c>
      <c r="C24" s="64" t="s">
        <v>128</v>
      </c>
      <c r="D24" s="64" t="s">
        <v>134</v>
      </c>
      <c r="E24" s="7" t="s">
        <v>133</v>
      </c>
      <c r="F24" s="8" t="s">
        <v>95</v>
      </c>
      <c r="G24" s="9">
        <v>44389</v>
      </c>
      <c r="H24" s="9">
        <v>44754</v>
      </c>
      <c r="I24" s="10">
        <v>140000</v>
      </c>
      <c r="J24" s="11">
        <f>ROUND(IF(((I24-L24-M24)&gt;34685.01)*((I24-L24-M24)&lt;52027.43),(((I24-L24-M24)-34685.01)*0.15),+IF(((I24-L24-M24)&gt;52027.43)*((I24-L24-M24)&lt;72260.26),((((I24-L24-M24)-52027.43)*0.2)+2601.33),+IF((I24-L24-M24)&gt;72260.26,(((I24-L24-M24)-72260.26)*25%)+6648,0))),2)</f>
        <v>21514.44</v>
      </c>
      <c r="K24" s="10">
        <v>25</v>
      </c>
      <c r="L24" s="16">
        <f t="shared" ref="L24:L25" si="22">ROUND(IF((I24)&gt;(15600*20),((15600*20)*0.0287),(I24)*0.0287),2)</f>
        <v>4018</v>
      </c>
      <c r="M24" s="10">
        <f t="shared" ref="M24:M25" si="23">ROUND(IF((I24)&gt;(15600*10),((15600*10)*0.0304),(I24)*0.0304),2)</f>
        <v>4256</v>
      </c>
      <c r="N24" s="10">
        <f>ROUND(IF((I24)&gt;(15600*20),((15600*20)*0.071),(I24)*0.071),2)</f>
        <v>9940</v>
      </c>
      <c r="O24" s="10">
        <f t="shared" ref="O24:O25" si="24">ROUND(IF((I24)&gt;(15600*10),((15600*10)*0.0709),(I24)*0.0709),2)</f>
        <v>9926</v>
      </c>
      <c r="P24" s="12">
        <f t="shared" ref="P24:P25" si="25">+ROUND(IF(I24&gt;(15600*4),((15600*4)*0.0115),I24*0.0115),2)</f>
        <v>717.6</v>
      </c>
      <c r="Q24" s="13">
        <f>+I24-J24-K24-L24-M24</f>
        <v>110186.56</v>
      </c>
    </row>
    <row r="25" spans="1:17" s="89" customFormat="1" ht="19.5" thickBot="1" x14ac:dyDescent="0.35">
      <c r="A25" s="6">
        <v>11</v>
      </c>
      <c r="B25" s="14" t="s">
        <v>121</v>
      </c>
      <c r="C25" s="14" t="s">
        <v>128</v>
      </c>
      <c r="D25" s="55" t="s">
        <v>134</v>
      </c>
      <c r="E25" s="55" t="s">
        <v>122</v>
      </c>
      <c r="F25" s="14" t="s">
        <v>95</v>
      </c>
      <c r="G25" s="15">
        <v>44531</v>
      </c>
      <c r="H25" s="15">
        <v>44896</v>
      </c>
      <c r="I25" s="16">
        <v>56000</v>
      </c>
      <c r="J25" s="16">
        <f t="shared" ref="J25" si="26">ROUND(IF(((I25-L25-M25)&gt;34685.01)*((I25-L25-M25)&lt;52027.43),(((I25-L25-M25)-34685.01)*0.15),+IF(((I25-L25-M25)&gt;52027.43)*((I25-L25-M25)&lt;72260.26),((((I25-L25-M25)-52027.43)*0.2)+2601.33),+IF((I25-L25-M25)&gt;72260.26,(((I25-L25-M25)-72260.26)*25%)+6648,0))),2)</f>
        <v>2733.92</v>
      </c>
      <c r="K25" s="16">
        <v>25</v>
      </c>
      <c r="L25" s="16">
        <f t="shared" si="22"/>
        <v>1607.2</v>
      </c>
      <c r="M25" s="10">
        <f t="shared" si="23"/>
        <v>1702.4</v>
      </c>
      <c r="N25" s="10">
        <f>ROUND(IF((I25)&gt;(15600*20),((15600*20)*0.071),(I25)*0.071),2)</f>
        <v>3976</v>
      </c>
      <c r="O25" s="10">
        <f t="shared" si="24"/>
        <v>3970.4</v>
      </c>
      <c r="P25" s="12">
        <f t="shared" si="25"/>
        <v>644</v>
      </c>
      <c r="Q25" s="23">
        <f t="shared" ref="Q25" si="27">+I25-J25-K25-L25-M25</f>
        <v>49931.48</v>
      </c>
    </row>
    <row r="26" spans="1:17" ht="19.5" thickBot="1" x14ac:dyDescent="0.35">
      <c r="A26" s="149" t="s">
        <v>63</v>
      </c>
      <c r="B26" s="150"/>
      <c r="C26" s="150"/>
      <c r="D26" s="150"/>
      <c r="E26" s="150"/>
      <c r="F26" s="150"/>
      <c r="G26" s="150"/>
      <c r="H26" s="151"/>
      <c r="I26" s="27">
        <f>SUM(I11:I25)</f>
        <v>1043000</v>
      </c>
      <c r="J26" s="27">
        <f>SUM(J11:J25)</f>
        <v>123622.84999999999</v>
      </c>
      <c r="K26" s="27">
        <f t="shared" ref="K26" si="28">SUM(K11:K25)</f>
        <v>275</v>
      </c>
      <c r="L26" s="27">
        <f>SUM(L11:L25)</f>
        <v>29934.100000000002</v>
      </c>
      <c r="M26" s="27">
        <f t="shared" ref="M26:P26" si="29">SUM(M11:M25)</f>
        <v>31707.200000000004</v>
      </c>
      <c r="N26" s="27">
        <f t="shared" si="29"/>
        <v>74053</v>
      </c>
      <c r="O26" s="27">
        <f t="shared" si="29"/>
        <v>73948.7</v>
      </c>
      <c r="P26" s="27">
        <f t="shared" si="29"/>
        <v>7649.8000000000011</v>
      </c>
      <c r="Q26" s="27">
        <f>SUM(Q11:Q25)</f>
        <v>857460.85000000009</v>
      </c>
    </row>
    <row r="27" spans="1:17" x14ac:dyDescent="0.3">
      <c r="A27" s="1"/>
      <c r="I27" s="5" t="s">
        <v>0</v>
      </c>
      <c r="J27" s="1"/>
      <c r="K27" s="1" t="s">
        <v>0</v>
      </c>
      <c r="L27" s="1"/>
      <c r="M27" s="1"/>
      <c r="N27" s="1"/>
      <c r="O27" s="1"/>
      <c r="P27" s="1"/>
    </row>
    <row r="28" spans="1:17" x14ac:dyDescent="0.3">
      <c r="A28" s="1"/>
      <c r="B28" s="1"/>
      <c r="C28" s="1"/>
      <c r="D28" s="1"/>
      <c r="E28" s="29"/>
      <c r="F28" s="30"/>
      <c r="G28" s="30"/>
      <c r="H28" s="30"/>
      <c r="I28" s="1"/>
      <c r="J28" s="31"/>
      <c r="K28" s="1"/>
      <c r="L28" s="31"/>
      <c r="M28" s="31"/>
      <c r="N28" s="31"/>
      <c r="O28" s="1"/>
      <c r="P28" s="1"/>
      <c r="Q28" s="31"/>
    </row>
    <row r="29" spans="1:17" s="32" customFormat="1" x14ac:dyDescent="0.3">
      <c r="A29" s="1"/>
      <c r="B29" s="1"/>
      <c r="C29" s="1"/>
      <c r="D29" s="1"/>
      <c r="E29" s="29"/>
      <c r="F29" s="30"/>
      <c r="G29" s="30"/>
      <c r="H29" s="30"/>
      <c r="I29" s="1"/>
      <c r="J29" s="1"/>
      <c r="K29" s="1"/>
      <c r="L29" s="31"/>
      <c r="M29" s="31"/>
      <c r="N29" s="31"/>
      <c r="O29" s="31"/>
      <c r="P29" s="31"/>
      <c r="Q29" s="31"/>
    </row>
    <row r="30" spans="1:17" ht="19.5" thickBot="1" x14ac:dyDescent="0.35">
      <c r="A30" s="1"/>
      <c r="C30" s="147" t="s">
        <v>31</v>
      </c>
      <c r="D30" s="147"/>
      <c r="E30" s="33">
        <f>I26+O26+N26+P26</f>
        <v>1198651.5</v>
      </c>
      <c r="G30" s="34"/>
      <c r="J30" s="1"/>
      <c r="K30" s="1"/>
      <c r="L30" s="1"/>
      <c r="M30" s="31"/>
      <c r="N30" s="31"/>
      <c r="O30" s="31"/>
      <c r="P30" s="31"/>
      <c r="Q30" s="35"/>
    </row>
    <row r="31" spans="1:17" ht="19.5" thickTop="1" x14ac:dyDescent="0.3">
      <c r="A31" s="1"/>
      <c r="B31" s="3"/>
      <c r="C31" s="3"/>
      <c r="D31" s="3"/>
      <c r="E31" s="36"/>
      <c r="G31" s="34"/>
      <c r="J31" s="1"/>
      <c r="K31" s="1"/>
      <c r="L31" s="1"/>
      <c r="M31" s="31"/>
      <c r="N31" s="31"/>
      <c r="O31" s="31"/>
      <c r="P31" s="31"/>
      <c r="Q31" s="35"/>
    </row>
    <row r="32" spans="1:17" s="120" customFormat="1" x14ac:dyDescent="0.3">
      <c r="A32" s="1"/>
      <c r="B32" s="3"/>
      <c r="C32" s="3"/>
      <c r="D32" s="3"/>
      <c r="E32" s="36"/>
      <c r="G32" s="119"/>
      <c r="J32" s="1"/>
      <c r="K32" s="1"/>
      <c r="L32" s="1"/>
      <c r="M32" s="31"/>
      <c r="N32" s="31"/>
      <c r="O32" s="31"/>
      <c r="P32" s="31"/>
      <c r="Q32" s="35"/>
    </row>
    <row r="33" spans="1:17" x14ac:dyDescent="0.3">
      <c r="A33" s="1"/>
      <c r="B33" s="3"/>
      <c r="C33" s="3"/>
      <c r="D33" s="3"/>
      <c r="E33" s="36"/>
      <c r="G33" s="34"/>
      <c r="I33" s="37"/>
      <c r="J33" s="1"/>
      <c r="K33" s="1"/>
      <c r="L33" s="1"/>
      <c r="M33" s="31"/>
      <c r="N33" s="31"/>
      <c r="O33" s="31"/>
      <c r="P33" s="31"/>
      <c r="Q33" s="35"/>
    </row>
    <row r="34" spans="1:17" x14ac:dyDescent="0.3">
      <c r="A34" s="1"/>
      <c r="B34" s="3"/>
      <c r="C34" s="3"/>
      <c r="D34" s="3"/>
      <c r="E34" s="36"/>
      <c r="G34" s="34"/>
      <c r="J34" s="1"/>
      <c r="K34" s="1"/>
      <c r="L34" s="1"/>
      <c r="M34" s="31"/>
      <c r="N34" s="31"/>
      <c r="O34" s="31"/>
      <c r="P34" s="31"/>
      <c r="Q34" s="35"/>
    </row>
    <row r="35" spans="1:17" x14ac:dyDescent="0.3">
      <c r="A35" s="1"/>
      <c r="B35" s="3"/>
      <c r="C35" s="3"/>
      <c r="D35" s="3"/>
      <c r="E35" s="36"/>
      <c r="G35" s="34"/>
      <c r="J35" s="38"/>
      <c r="K35" s="1"/>
      <c r="L35" s="1"/>
      <c r="M35" s="31"/>
      <c r="N35" s="31"/>
      <c r="O35" s="31"/>
      <c r="P35" s="31"/>
      <c r="Q35" s="35"/>
    </row>
    <row r="36" spans="1:17" ht="19.5" thickBot="1" x14ac:dyDescent="0.35">
      <c r="A36" s="1"/>
      <c r="B36" s="39"/>
      <c r="C36" s="97"/>
      <c r="E36" s="40"/>
      <c r="F36" s="38"/>
      <c r="G36" s="148"/>
      <c r="H36" s="148"/>
      <c r="I36" s="38"/>
      <c r="J36" s="118"/>
    </row>
    <row r="37" spans="1:17" x14ac:dyDescent="0.3">
      <c r="A37" s="1"/>
      <c r="B37" s="43" t="s">
        <v>86</v>
      </c>
      <c r="C37" s="43"/>
      <c r="E37" s="43" t="s">
        <v>87</v>
      </c>
      <c r="G37" s="146" t="s">
        <v>85</v>
      </c>
      <c r="H37" s="146"/>
      <c r="I37" s="124"/>
      <c r="J37" s="124"/>
    </row>
    <row r="38" spans="1:17" x14ac:dyDescent="0.3">
      <c r="A38" s="44"/>
      <c r="B38" s="5" t="s">
        <v>98</v>
      </c>
      <c r="E38" s="5" t="s">
        <v>97</v>
      </c>
      <c r="G38" s="133" t="s">
        <v>96</v>
      </c>
      <c r="H38" s="133"/>
      <c r="I38" s="123"/>
      <c r="J38" s="123"/>
    </row>
    <row r="39" spans="1:17" x14ac:dyDescent="0.3">
      <c r="A39" s="45"/>
    </row>
    <row r="40" spans="1:17" x14ac:dyDescent="0.3">
      <c r="A40" s="44"/>
    </row>
    <row r="41" spans="1:17" x14ac:dyDescent="0.3">
      <c r="A41" s="44"/>
    </row>
    <row r="42" spans="1:17" x14ac:dyDescent="0.3">
      <c r="A42" s="1"/>
    </row>
    <row r="43" spans="1:17" x14ac:dyDescent="0.3">
      <c r="A43" s="1"/>
    </row>
    <row r="44" spans="1:17" x14ac:dyDescent="0.3">
      <c r="A44" s="1"/>
      <c r="E44" s="37"/>
    </row>
    <row r="48" spans="1:17" x14ac:dyDescent="0.3">
      <c r="B48" s="28"/>
      <c r="C48" s="28"/>
    </row>
    <row r="51" spans="2:3" x14ac:dyDescent="0.3">
      <c r="B51" s="28"/>
      <c r="C51" s="28"/>
    </row>
  </sheetData>
  <mergeCells count="13">
    <mergeCell ref="C30:D30"/>
    <mergeCell ref="G36:H36"/>
    <mergeCell ref="G37:H37"/>
    <mergeCell ref="G38:H38"/>
    <mergeCell ref="A6:Q6"/>
    <mergeCell ref="A7:Q7"/>
    <mergeCell ref="A8:Q8"/>
    <mergeCell ref="A26:H26"/>
    <mergeCell ref="A10:Q10"/>
    <mergeCell ref="A15:Q15"/>
    <mergeCell ref="A18:Q18"/>
    <mergeCell ref="A20:Q20"/>
    <mergeCell ref="A23:Q23"/>
  </mergeCells>
  <printOptions horizontalCentered="1"/>
  <pageMargins left="0.25" right="0.25" top="0.75" bottom="0.75" header="0.3" footer="0.3"/>
  <pageSetup paperSize="5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2:O36"/>
  <sheetViews>
    <sheetView showGridLines="0" tabSelected="1" topLeftCell="A7" zoomScale="70" zoomScaleNormal="70" workbookViewId="0">
      <selection activeCell="E21" sqref="E21"/>
    </sheetView>
  </sheetViews>
  <sheetFormatPr baseColWidth="10" defaultColWidth="11.42578125" defaultRowHeight="18.75" x14ac:dyDescent="0.3"/>
  <cols>
    <col min="1" max="1" width="6.42578125" style="111" bestFit="1" customWidth="1"/>
    <col min="2" max="2" width="50.7109375" style="111" customWidth="1"/>
    <col min="3" max="3" width="20.7109375" style="114" customWidth="1"/>
    <col min="4" max="4" width="50.7109375" style="111" customWidth="1"/>
    <col min="5" max="5" width="55.7109375" style="28" customWidth="1"/>
    <col min="6" max="15" width="23.7109375" style="111" customWidth="1"/>
    <col min="16" max="16" width="24.28515625" style="111" customWidth="1"/>
    <col min="17" max="16384" width="11.42578125" style="111"/>
  </cols>
  <sheetData>
    <row r="2" spans="1:15" s="120" customFormat="1" x14ac:dyDescent="0.3">
      <c r="E2" s="28"/>
      <c r="F2" s="120" t="e">
        <f>+A:QA:O</f>
        <v>#NAME?</v>
      </c>
    </row>
    <row r="5" spans="1:15" x14ac:dyDescent="0.3">
      <c r="A5" s="1"/>
      <c r="B5" s="1"/>
      <c r="C5" s="1"/>
      <c r="D5" s="1"/>
      <c r="E5" s="2"/>
      <c r="F5" s="3"/>
      <c r="G5" s="3"/>
      <c r="H5" s="4"/>
      <c r="I5" s="3"/>
      <c r="J5" s="3"/>
      <c r="K5" s="3"/>
      <c r="L5" s="1"/>
      <c r="M5" s="3"/>
      <c r="N5" s="1"/>
      <c r="O5" s="1"/>
    </row>
    <row r="6" spans="1:15" x14ac:dyDescent="0.3">
      <c r="A6" s="135" t="s">
        <v>44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x14ac:dyDescent="0.3">
      <c r="A7" s="145" t="str">
        <f>+'Nomina Fijo'!A7:P7</f>
        <v>Mes: Agosto 2021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19.5" thickBot="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s="130" customFormat="1" ht="60" customHeight="1" thickBot="1" x14ac:dyDescent="0.4">
      <c r="A9" s="128" t="s">
        <v>3</v>
      </c>
      <c r="B9" s="129" t="s">
        <v>88</v>
      </c>
      <c r="C9" s="128" t="s">
        <v>141</v>
      </c>
      <c r="D9" s="129" t="s">
        <v>90</v>
      </c>
      <c r="E9" s="128" t="s">
        <v>4</v>
      </c>
      <c r="F9" s="128" t="s">
        <v>45</v>
      </c>
      <c r="G9" s="129" t="s">
        <v>147</v>
      </c>
      <c r="H9" s="128" t="s">
        <v>140</v>
      </c>
      <c r="I9" s="129" t="s">
        <v>6</v>
      </c>
      <c r="J9" s="128" t="s">
        <v>48</v>
      </c>
      <c r="K9" s="129" t="s">
        <v>49</v>
      </c>
      <c r="L9" s="128" t="s">
        <v>50</v>
      </c>
      <c r="M9" s="129" t="s">
        <v>51</v>
      </c>
      <c r="N9" s="128" t="s">
        <v>11</v>
      </c>
      <c r="O9" s="128" t="s">
        <v>12</v>
      </c>
    </row>
    <row r="10" spans="1:15" ht="22.5" x14ac:dyDescent="0.3">
      <c r="A10" s="152" t="s">
        <v>158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</row>
    <row r="11" spans="1:15" ht="19.5" thickBot="1" x14ac:dyDescent="0.35">
      <c r="A11" s="6">
        <v>1</v>
      </c>
      <c r="B11" s="64" t="s">
        <v>139</v>
      </c>
      <c r="C11" s="95" t="s">
        <v>127</v>
      </c>
      <c r="D11" s="7" t="s">
        <v>138</v>
      </c>
      <c r="E11" s="7" t="s">
        <v>123</v>
      </c>
      <c r="F11" s="8" t="s">
        <v>149</v>
      </c>
      <c r="G11" s="10">
        <v>52000</v>
      </c>
      <c r="H11" s="11">
        <f t="shared" ref="H11" si="0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10">
        <v>25</v>
      </c>
      <c r="J11" s="10">
        <f>ROUND(IF((G11)&gt;(15600*20),((15600*20)*0.0287),(G11)*0.0287),2)</f>
        <v>1492.4</v>
      </c>
      <c r="K11" s="10">
        <f>ROUND(IF((G11)&gt;(15600*10),((15600*10)*0.0304),(G11)*0.0304),2)</f>
        <v>1580.8</v>
      </c>
      <c r="L11" s="10">
        <f>ROUND(IF((G11)&gt;(15600*20),((15600*20)*0.071),(G11)*0.071),2)</f>
        <v>3692</v>
      </c>
      <c r="M11" s="10">
        <f>ROUND(IF((G11)&gt;(15600*10),((15600*10)*0.0709),(G11)*0.0709),2)</f>
        <v>3686.8</v>
      </c>
      <c r="N11" s="12">
        <f>+ROUND(IF(G11&gt;(15600*4),((15600*4)*0.0115),G11*0.0115),2)</f>
        <v>598</v>
      </c>
      <c r="O11" s="13">
        <f>+G11-H11-I11-J11-K11</f>
        <v>46765.53</v>
      </c>
    </row>
    <row r="12" spans="1:15" ht="19.5" thickBot="1" x14ac:dyDescent="0.35">
      <c r="A12" s="158" t="s">
        <v>63</v>
      </c>
      <c r="B12" s="150"/>
      <c r="C12" s="150"/>
      <c r="D12" s="150"/>
      <c r="E12" s="150"/>
      <c r="F12" s="150"/>
      <c r="G12" s="27">
        <f t="shared" ref="G12:O12" si="1">SUM(G11:G11)</f>
        <v>52000</v>
      </c>
      <c r="H12" s="27">
        <f t="shared" si="1"/>
        <v>2136.27</v>
      </c>
      <c r="I12" s="27">
        <f t="shared" si="1"/>
        <v>25</v>
      </c>
      <c r="J12" s="27">
        <f t="shared" si="1"/>
        <v>1492.4</v>
      </c>
      <c r="K12" s="27">
        <f t="shared" si="1"/>
        <v>1580.8</v>
      </c>
      <c r="L12" s="27">
        <f t="shared" si="1"/>
        <v>3692</v>
      </c>
      <c r="M12" s="27">
        <f t="shared" si="1"/>
        <v>3686.8</v>
      </c>
      <c r="N12" s="27">
        <f t="shared" si="1"/>
        <v>598</v>
      </c>
      <c r="O12" s="27">
        <f t="shared" si="1"/>
        <v>46765.53</v>
      </c>
    </row>
    <row r="13" spans="1:15" x14ac:dyDescent="0.3">
      <c r="A13" s="1"/>
      <c r="G13" s="35">
        <f>SUM(M20)</f>
        <v>0</v>
      </c>
      <c r="H13" s="1"/>
      <c r="I13" s="1" t="s">
        <v>0</v>
      </c>
      <c r="J13" s="1"/>
      <c r="K13" s="1"/>
      <c r="L13" s="1"/>
      <c r="M13" s="1"/>
      <c r="N13" s="1"/>
    </row>
    <row r="14" spans="1:15" x14ac:dyDescent="0.3">
      <c r="A14" s="1"/>
      <c r="B14" s="1"/>
      <c r="C14" s="1"/>
      <c r="D14" s="1"/>
      <c r="E14" s="29"/>
      <c r="F14" s="30"/>
      <c r="G14" s="1"/>
      <c r="H14" s="31"/>
      <c r="I14" s="1"/>
      <c r="J14" s="31"/>
      <c r="K14" s="31"/>
      <c r="L14" s="31"/>
      <c r="M14" s="1"/>
      <c r="N14" s="1"/>
      <c r="O14" s="31"/>
    </row>
    <row r="15" spans="1:15" s="32" customFormat="1" x14ac:dyDescent="0.3">
      <c r="A15" s="1"/>
      <c r="B15" s="1"/>
      <c r="C15" s="1"/>
      <c r="D15" s="1"/>
      <c r="E15" s="29"/>
      <c r="F15" s="30"/>
      <c r="G15" s="1"/>
      <c r="H15" s="1"/>
      <c r="I15" s="1"/>
      <c r="J15" s="31"/>
      <c r="K15" s="31"/>
      <c r="L15" s="31"/>
      <c r="M15" s="31"/>
      <c r="N15" s="31"/>
      <c r="O15" s="31"/>
    </row>
    <row r="16" spans="1:15" ht="19.5" thickBot="1" x14ac:dyDescent="0.35">
      <c r="A16" s="1"/>
      <c r="D16" s="121" t="s">
        <v>31</v>
      </c>
      <c r="E16" s="33">
        <f>G12+M12+L12+N12</f>
        <v>59976.800000000003</v>
      </c>
      <c r="H16" s="1"/>
      <c r="I16" s="1"/>
      <c r="J16" s="1"/>
      <c r="K16" s="31"/>
      <c r="L16" s="31"/>
      <c r="M16" s="31"/>
      <c r="N16" s="31"/>
      <c r="O16" s="35"/>
    </row>
    <row r="17" spans="1:15" ht="19.5" thickTop="1" x14ac:dyDescent="0.3">
      <c r="A17" s="1"/>
      <c r="B17" s="3"/>
      <c r="C17" s="3"/>
      <c r="D17" s="3"/>
      <c r="E17" s="36"/>
      <c r="H17" s="1"/>
      <c r="I17" s="1"/>
      <c r="J17" s="1"/>
      <c r="K17" s="31"/>
      <c r="L17" s="31"/>
      <c r="M17" s="31"/>
      <c r="N17" s="31"/>
      <c r="O17" s="35"/>
    </row>
    <row r="18" spans="1:15" x14ac:dyDescent="0.3">
      <c r="A18" s="1"/>
      <c r="B18" s="3"/>
      <c r="C18" s="3"/>
      <c r="D18" s="3"/>
      <c r="E18" s="36"/>
      <c r="G18" s="37"/>
      <c r="H18" s="1"/>
      <c r="I18" s="1"/>
      <c r="J18" s="1"/>
      <c r="K18" s="31"/>
      <c r="L18" s="31"/>
      <c r="M18" s="31"/>
      <c r="N18" s="31"/>
      <c r="O18" s="35"/>
    </row>
    <row r="19" spans="1:15" x14ac:dyDescent="0.3">
      <c r="A19" s="1"/>
      <c r="B19" s="3"/>
      <c r="C19" s="3"/>
      <c r="D19" s="3"/>
      <c r="E19" s="36"/>
      <c r="H19" s="1"/>
      <c r="I19" s="1"/>
      <c r="J19" s="1"/>
      <c r="K19" s="31"/>
      <c r="L19" s="31"/>
      <c r="M19" s="31"/>
      <c r="N19" s="31"/>
      <c r="O19" s="35"/>
    </row>
    <row r="20" spans="1:15" x14ac:dyDescent="0.3">
      <c r="A20" s="1"/>
      <c r="B20" s="3"/>
      <c r="C20" s="3"/>
      <c r="D20" s="3"/>
      <c r="E20" s="36"/>
      <c r="H20" s="38"/>
      <c r="I20" s="1"/>
      <c r="J20" s="1"/>
      <c r="K20" s="31"/>
      <c r="L20" s="31"/>
      <c r="M20" s="31"/>
      <c r="N20" s="31"/>
      <c r="O20" s="35"/>
    </row>
    <row r="21" spans="1:15" ht="19.5" thickBot="1" x14ac:dyDescent="0.35">
      <c r="A21" s="1"/>
      <c r="B21" s="39"/>
      <c r="C21" s="118"/>
      <c r="E21" s="40"/>
      <c r="F21" s="38"/>
      <c r="G21" s="42"/>
    </row>
    <row r="22" spans="1:15" x14ac:dyDescent="0.3">
      <c r="A22" s="1"/>
      <c r="B22" s="43" t="s">
        <v>86</v>
      </c>
      <c r="C22" s="43"/>
      <c r="E22" s="43" t="s">
        <v>87</v>
      </c>
      <c r="G22" s="146" t="s">
        <v>85</v>
      </c>
      <c r="H22" s="146"/>
    </row>
    <row r="23" spans="1:15" x14ac:dyDescent="0.3">
      <c r="A23" s="44"/>
      <c r="B23" s="111" t="s">
        <v>98</v>
      </c>
      <c r="E23" s="111" t="s">
        <v>97</v>
      </c>
      <c r="G23" s="133" t="s">
        <v>96</v>
      </c>
      <c r="H23" s="133"/>
    </row>
    <row r="24" spans="1:15" x14ac:dyDescent="0.3">
      <c r="A24" s="45"/>
    </row>
    <row r="25" spans="1:15" x14ac:dyDescent="0.3">
      <c r="A25" s="44"/>
    </row>
    <row r="26" spans="1:15" x14ac:dyDescent="0.3">
      <c r="A26" s="44"/>
    </row>
    <row r="27" spans="1:15" x14ac:dyDescent="0.3">
      <c r="A27" s="1"/>
    </row>
    <row r="28" spans="1:15" x14ac:dyDescent="0.3">
      <c r="A28" s="1"/>
    </row>
    <row r="29" spans="1:15" x14ac:dyDescent="0.3">
      <c r="A29" s="1"/>
      <c r="E29" s="37"/>
    </row>
    <row r="33" spans="2:10" x14ac:dyDescent="0.3">
      <c r="B33" s="28"/>
    </row>
    <row r="35" spans="2:10" x14ac:dyDescent="0.3">
      <c r="J35" s="35"/>
    </row>
    <row r="36" spans="2:10" x14ac:dyDescent="0.3">
      <c r="B36" s="28"/>
    </row>
  </sheetData>
  <mergeCells count="7">
    <mergeCell ref="A12:F12"/>
    <mergeCell ref="G22:H22"/>
    <mergeCell ref="G23:H23"/>
    <mergeCell ref="A6:O6"/>
    <mergeCell ref="A7:O7"/>
    <mergeCell ref="A8:O8"/>
    <mergeCell ref="A10:O10"/>
  </mergeCells>
  <printOptions horizontalCentered="1"/>
  <pageMargins left="0.25" right="0.25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Contratado   </vt:lpstr>
      <vt:lpstr>Nomina Periodo Probatorio </vt:lpstr>
      <vt:lpstr>'Nomina Contratado   '!Área_de_impresión</vt:lpstr>
      <vt:lpstr>'Nomina Fijo'!Área_de_impresión</vt:lpstr>
      <vt:lpstr>'Nomina Periodo Probatorio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Caroline Ruiz</cp:lastModifiedBy>
  <cp:lastPrinted>2021-12-14T14:32:47Z</cp:lastPrinted>
  <dcterms:created xsi:type="dcterms:W3CDTF">2019-04-22T15:13:08Z</dcterms:created>
  <dcterms:modified xsi:type="dcterms:W3CDTF">2022-04-26T16:49:15Z</dcterms:modified>
</cp:coreProperties>
</file>