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9-SEPTIEMBRE\CONTABILIDAD\"/>
    </mc:Choice>
  </mc:AlternateContent>
  <xr:revisionPtr revIDLastSave="0" documentId="13_ncr:1_{318A5B1A-9F27-4CD7-9BA8-B6ECF085AB23}" xr6:coauthVersionLast="36" xr6:coauthVersionMax="36" xr10:uidLastSave="{00000000-0000-0000-0000-000000000000}"/>
  <bookViews>
    <workbookView xWindow="0" yWindow="0" windowWidth="28800" windowHeight="12225" tabRatio="599" xr2:uid="{00000000-000D-0000-FFFF-FFFF00000000}"/>
  </bookViews>
  <sheets>
    <sheet name="Inventario de Materiales" sheetId="2" r:id="rId1"/>
    <sheet name="Actualizado" sheetId="20" state="hidden" r:id="rId2"/>
  </sheets>
  <definedNames>
    <definedName name="_xlnm._FilterDatabase" localSheetId="1" hidden="1">Actualizado!$B$7:$Q$245</definedName>
    <definedName name="_xlnm._FilterDatabase" localSheetId="0" hidden="1">'Inventario de Materiales'!$E$231:$H$231</definedName>
    <definedName name="_xlnm.Print_Area" localSheetId="0">'Inventario de Materiales'!$1:$6</definedName>
    <definedName name="_xlnm.Print_Titles" localSheetId="0">'Inventario de Materiales'!$1:$6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1" i="2" l="1"/>
  <c r="H229" i="2"/>
  <c r="H268" i="2"/>
  <c r="D281" i="2"/>
  <c r="H276" i="2"/>
  <c r="H283" i="2"/>
  <c r="H285" i="2" s="1"/>
  <c r="D280" i="2"/>
  <c r="D27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49" i="2"/>
  <c r="D233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05" i="2"/>
  <c r="D54" i="2"/>
  <c r="D178" i="2"/>
  <c r="D166" i="2"/>
  <c r="D160" i="2"/>
  <c r="D149" i="2"/>
  <c r="D109" i="2"/>
  <c r="D115" i="2"/>
  <c r="D114" i="2"/>
  <c r="D113" i="2"/>
  <c r="D110" i="2"/>
  <c r="P245" i="20" l="1"/>
  <c r="O166" i="20" l="1"/>
  <c r="N165" i="20"/>
  <c r="N129" i="20"/>
  <c r="N52" i="20"/>
  <c r="N149" i="20"/>
  <c r="N132" i="20"/>
  <c r="N104" i="20"/>
  <c r="N154" i="20"/>
  <c r="N215" i="20"/>
  <c r="N214" i="20"/>
  <c r="N107" i="20"/>
  <c r="N155" i="20"/>
  <c r="N176" i="20"/>
  <c r="N63" i="20"/>
  <c r="N158" i="20"/>
  <c r="N159" i="20"/>
  <c r="N32" i="20"/>
  <c r="N235" i="20"/>
  <c r="N25" i="20" l="1"/>
  <c r="O36" i="20"/>
  <c r="N203" i="20"/>
  <c r="I154" i="20" l="1"/>
  <c r="I129" i="20"/>
  <c r="N121" i="20" l="1"/>
  <c r="N195" i="20"/>
  <c r="N193" i="20"/>
  <c r="N126" i="20"/>
  <c r="N19" i="20"/>
  <c r="N135" i="20"/>
  <c r="N201" i="20"/>
  <c r="N169" i="20"/>
  <c r="N166" i="20"/>
  <c r="N122" i="20"/>
  <c r="N87" i="20"/>
  <c r="N148" i="20"/>
  <c r="N67" i="20"/>
  <c r="N124" i="20"/>
  <c r="I236" i="20"/>
  <c r="I118" i="20"/>
  <c r="I148" i="20"/>
  <c r="I169" i="20"/>
  <c r="I139" i="20"/>
  <c r="I136" i="20"/>
  <c r="I130" i="20"/>
  <c r="F129" i="20"/>
  <c r="O244" i="20"/>
  <c r="K244" i="20"/>
  <c r="L244" i="20" s="1"/>
  <c r="F244" i="20"/>
  <c r="O243" i="20"/>
  <c r="K243" i="20"/>
  <c r="L243" i="20" s="1"/>
  <c r="F243" i="20"/>
  <c r="O242" i="20"/>
  <c r="K242" i="20"/>
  <c r="L242" i="20" s="1"/>
  <c r="M242" i="20" s="1"/>
  <c r="F242" i="20"/>
  <c r="O241" i="20"/>
  <c r="K241" i="20"/>
  <c r="L241" i="20" s="1"/>
  <c r="F241" i="20"/>
  <c r="O240" i="20"/>
  <c r="K240" i="20"/>
  <c r="L240" i="20" s="1"/>
  <c r="F240" i="20"/>
  <c r="O239" i="20"/>
  <c r="K239" i="20"/>
  <c r="L239" i="20" s="1"/>
  <c r="F239" i="20"/>
  <c r="O238" i="20"/>
  <c r="K238" i="20"/>
  <c r="L238" i="20" s="1"/>
  <c r="M238" i="20" s="1"/>
  <c r="F238" i="20"/>
  <c r="O237" i="20"/>
  <c r="K237" i="20"/>
  <c r="L237" i="20" s="1"/>
  <c r="M237" i="20" s="1"/>
  <c r="F237" i="20"/>
  <c r="O236" i="20"/>
  <c r="K236" i="20"/>
  <c r="L236" i="20" s="1"/>
  <c r="M236" i="20" s="1"/>
  <c r="F236" i="20"/>
  <c r="O235" i="20"/>
  <c r="K235" i="20"/>
  <c r="L235" i="20" s="1"/>
  <c r="M235" i="20" s="1"/>
  <c r="F235" i="20"/>
  <c r="O234" i="20"/>
  <c r="K234" i="20"/>
  <c r="L234" i="20" s="1"/>
  <c r="M234" i="20" s="1"/>
  <c r="F234" i="20"/>
  <c r="O233" i="20"/>
  <c r="N233" i="20"/>
  <c r="F233" i="20"/>
  <c r="L233" i="20"/>
  <c r="M233" i="20" s="1"/>
  <c r="K233" i="20"/>
  <c r="O232" i="20"/>
  <c r="L232" i="20"/>
  <c r="M232" i="20" s="1"/>
  <c r="K232" i="20"/>
  <c r="F232" i="20"/>
  <c r="O231" i="20"/>
  <c r="L231" i="20"/>
  <c r="M231" i="20" s="1"/>
  <c r="K231" i="20"/>
  <c r="F231" i="20"/>
  <c r="O230" i="20"/>
  <c r="L230" i="20"/>
  <c r="M230" i="20" s="1"/>
  <c r="K230" i="20"/>
  <c r="F230" i="20"/>
  <c r="N229" i="20"/>
  <c r="O229" i="20"/>
  <c r="L229" i="20"/>
  <c r="M229" i="20" s="1"/>
  <c r="K229" i="20"/>
  <c r="F229" i="20"/>
  <c r="N228" i="20"/>
  <c r="L228" i="20"/>
  <c r="M228" i="20" s="1"/>
  <c r="K228" i="20"/>
  <c r="N227" i="20"/>
  <c r="O227" i="20"/>
  <c r="L227" i="20"/>
  <c r="M227" i="20" s="1"/>
  <c r="K227" i="20"/>
  <c r="F227" i="20"/>
  <c r="N226" i="20"/>
  <c r="L226" i="20"/>
  <c r="M226" i="20" s="1"/>
  <c r="K226" i="20"/>
  <c r="O225" i="20"/>
  <c r="K225" i="20"/>
  <c r="L225" i="20" s="1"/>
  <c r="F225" i="20"/>
  <c r="O224" i="20"/>
  <c r="K224" i="20"/>
  <c r="L224" i="20" s="1"/>
  <c r="M224" i="20" s="1"/>
  <c r="F224" i="20"/>
  <c r="O223" i="20"/>
  <c r="K223" i="20"/>
  <c r="L223" i="20" s="1"/>
  <c r="M223" i="20" s="1"/>
  <c r="F223" i="20"/>
  <c r="O222" i="20"/>
  <c r="N222" i="20"/>
  <c r="K222" i="20"/>
  <c r="L222" i="20" s="1"/>
  <c r="F222" i="20"/>
  <c r="O221" i="20"/>
  <c r="K221" i="20"/>
  <c r="L221" i="20" s="1"/>
  <c r="F221" i="20"/>
  <c r="O220" i="20"/>
  <c r="K220" i="20"/>
  <c r="L220" i="20" s="1"/>
  <c r="F220" i="20"/>
  <c r="O219" i="20"/>
  <c r="K219" i="20"/>
  <c r="L219" i="20" s="1"/>
  <c r="M219" i="20" s="1"/>
  <c r="F219" i="20"/>
  <c r="O218" i="20"/>
  <c r="K218" i="20"/>
  <c r="L218" i="20" s="1"/>
  <c r="M218" i="20" s="1"/>
  <c r="F218" i="20"/>
  <c r="N217" i="20"/>
  <c r="O217" i="20"/>
  <c r="L217" i="20"/>
  <c r="M217" i="20" s="1"/>
  <c r="J217" i="20"/>
  <c r="F217" i="20"/>
  <c r="N216" i="20"/>
  <c r="K216" i="20"/>
  <c r="L216" i="20" s="1"/>
  <c r="M216" i="20" s="1"/>
  <c r="O215" i="20"/>
  <c r="K215" i="20"/>
  <c r="L215" i="20" s="1"/>
  <c r="F215" i="20"/>
  <c r="O214" i="20"/>
  <c r="K214" i="20"/>
  <c r="L214" i="20" s="1"/>
  <c r="M214" i="20" s="1"/>
  <c r="F214" i="20"/>
  <c r="O213" i="20"/>
  <c r="K213" i="20"/>
  <c r="L213" i="20" s="1"/>
  <c r="M213" i="20" s="1"/>
  <c r="F213" i="20"/>
  <c r="O212" i="20"/>
  <c r="N212" i="20"/>
  <c r="F212" i="20"/>
  <c r="K212" i="20"/>
  <c r="L212" i="20" s="1"/>
  <c r="M212" i="20" s="1"/>
  <c r="O211" i="20"/>
  <c r="K211" i="20"/>
  <c r="L211" i="20" s="1"/>
  <c r="M211" i="20" s="1"/>
  <c r="F211" i="20"/>
  <c r="N210" i="20"/>
  <c r="K210" i="20"/>
  <c r="L210" i="20" s="1"/>
  <c r="M210" i="20" s="1"/>
  <c r="O209" i="20"/>
  <c r="K209" i="20"/>
  <c r="L209" i="20" s="1"/>
  <c r="M209" i="20" s="1"/>
  <c r="F209" i="20"/>
  <c r="O208" i="20"/>
  <c r="K208" i="20"/>
  <c r="L208" i="20" s="1"/>
  <c r="M208" i="20" s="1"/>
  <c r="F208" i="20"/>
  <c r="O207" i="20"/>
  <c r="K207" i="20"/>
  <c r="L207" i="20" s="1"/>
  <c r="M207" i="20" s="1"/>
  <c r="F207" i="20"/>
  <c r="N206" i="20"/>
  <c r="K206" i="20"/>
  <c r="L206" i="20" s="1"/>
  <c r="M206" i="20" s="1"/>
  <c r="O205" i="20"/>
  <c r="K205" i="20"/>
  <c r="L205" i="20" s="1"/>
  <c r="M205" i="20" s="1"/>
  <c r="F205" i="20"/>
  <c r="O204" i="20"/>
  <c r="N204" i="20"/>
  <c r="K204" i="20"/>
  <c r="L204" i="20" s="1"/>
  <c r="M204" i="20" s="1"/>
  <c r="F204" i="20"/>
  <c r="O203" i="20"/>
  <c r="K203" i="20"/>
  <c r="L203" i="20" s="1"/>
  <c r="M203" i="20" s="1"/>
  <c r="F203" i="20"/>
  <c r="O202" i="20"/>
  <c r="N202" i="20"/>
  <c r="K202" i="20"/>
  <c r="L202" i="20" s="1"/>
  <c r="M202" i="20" s="1"/>
  <c r="F202" i="20"/>
  <c r="O201" i="20"/>
  <c r="K201" i="20"/>
  <c r="L201" i="20" s="1"/>
  <c r="M201" i="20" s="1"/>
  <c r="F201" i="20"/>
  <c r="O200" i="20"/>
  <c r="K200" i="20"/>
  <c r="L200" i="20" s="1"/>
  <c r="M200" i="20" s="1"/>
  <c r="F200" i="20"/>
  <c r="O199" i="20"/>
  <c r="K199" i="20"/>
  <c r="L199" i="20" s="1"/>
  <c r="M199" i="20" s="1"/>
  <c r="F199" i="20"/>
  <c r="O198" i="20"/>
  <c r="J198" i="20"/>
  <c r="K198" i="20"/>
  <c r="L198" i="20" s="1"/>
  <c r="F198" i="20"/>
  <c r="N197" i="20"/>
  <c r="K197" i="20"/>
  <c r="L197" i="20" s="1"/>
  <c r="M197" i="20" s="1"/>
  <c r="O196" i="20"/>
  <c r="J196" i="20"/>
  <c r="L196" i="20"/>
  <c r="M196" i="20" s="1"/>
  <c r="F196" i="20"/>
  <c r="O195" i="20"/>
  <c r="K195" i="20"/>
  <c r="L195" i="20" s="1"/>
  <c r="F195" i="20"/>
  <c r="O194" i="20"/>
  <c r="J194" i="20"/>
  <c r="L194" i="20"/>
  <c r="M194" i="20" s="1"/>
  <c r="F194" i="20"/>
  <c r="O193" i="20"/>
  <c r="K193" i="20"/>
  <c r="L193" i="20" s="1"/>
  <c r="M193" i="20" s="1"/>
  <c r="F193" i="20"/>
  <c r="O192" i="20"/>
  <c r="N192" i="20"/>
  <c r="F192" i="20"/>
  <c r="K192" i="20"/>
  <c r="L192" i="20" s="1"/>
  <c r="M192" i="20" s="1"/>
  <c r="O191" i="20"/>
  <c r="N191" i="20"/>
  <c r="K191" i="20"/>
  <c r="L191" i="20" s="1"/>
  <c r="M191" i="20" s="1"/>
  <c r="F191" i="20"/>
  <c r="O190" i="20"/>
  <c r="K190" i="20"/>
  <c r="L190" i="20" s="1"/>
  <c r="M190" i="20" s="1"/>
  <c r="F190" i="20"/>
  <c r="N189" i="20"/>
  <c r="O189" i="20"/>
  <c r="K189" i="20"/>
  <c r="L189" i="20" s="1"/>
  <c r="M189" i="20" s="1"/>
  <c r="N188" i="20"/>
  <c r="O188" i="20"/>
  <c r="K188" i="20"/>
  <c r="L188" i="20" s="1"/>
  <c r="M188" i="20" s="1"/>
  <c r="F188" i="20"/>
  <c r="O187" i="20"/>
  <c r="N187" i="20"/>
  <c r="F187" i="20"/>
  <c r="K187" i="20"/>
  <c r="L187" i="20" s="1"/>
  <c r="M187" i="20" s="1"/>
  <c r="O186" i="20"/>
  <c r="K186" i="20"/>
  <c r="L186" i="20" s="1"/>
  <c r="M186" i="20" s="1"/>
  <c r="F186" i="20"/>
  <c r="N185" i="20"/>
  <c r="O185" i="20"/>
  <c r="K185" i="20"/>
  <c r="L185" i="20" s="1"/>
  <c r="M185" i="20" s="1"/>
  <c r="F185" i="20"/>
  <c r="O184" i="20"/>
  <c r="N184" i="20"/>
  <c r="K184" i="20"/>
  <c r="L184" i="20" s="1"/>
  <c r="M184" i="20" s="1"/>
  <c r="F184" i="20"/>
  <c r="O183" i="20"/>
  <c r="K183" i="20"/>
  <c r="L183" i="20" s="1"/>
  <c r="F183" i="20"/>
  <c r="N182" i="20"/>
  <c r="K182" i="20"/>
  <c r="L182" i="20" s="1"/>
  <c r="M182" i="20" s="1"/>
  <c r="O181" i="20"/>
  <c r="K181" i="20"/>
  <c r="L181" i="20" s="1"/>
  <c r="M181" i="20" s="1"/>
  <c r="F181" i="20"/>
  <c r="O180" i="20"/>
  <c r="K180" i="20"/>
  <c r="L180" i="20" s="1"/>
  <c r="M180" i="20" s="1"/>
  <c r="F180" i="20"/>
  <c r="O179" i="20"/>
  <c r="K179" i="20"/>
  <c r="L179" i="20" s="1"/>
  <c r="M179" i="20" s="1"/>
  <c r="F179" i="20"/>
  <c r="O178" i="20"/>
  <c r="K178" i="20"/>
  <c r="L178" i="20" s="1"/>
  <c r="F178" i="20"/>
  <c r="O177" i="20"/>
  <c r="K177" i="20"/>
  <c r="L177" i="20" s="1"/>
  <c r="M177" i="20" s="1"/>
  <c r="F177" i="20"/>
  <c r="L176" i="20"/>
  <c r="M176" i="20" s="1"/>
  <c r="J176" i="20"/>
  <c r="N175" i="20"/>
  <c r="O175" i="20"/>
  <c r="K175" i="20"/>
  <c r="L175" i="20" s="1"/>
  <c r="M175" i="20" s="1"/>
  <c r="O174" i="20"/>
  <c r="N174" i="20"/>
  <c r="F174" i="20"/>
  <c r="K174" i="20"/>
  <c r="L174" i="20" s="1"/>
  <c r="O173" i="20"/>
  <c r="K173" i="20"/>
  <c r="L173" i="20" s="1"/>
  <c r="M173" i="20" s="1"/>
  <c r="F173" i="20"/>
  <c r="N172" i="20"/>
  <c r="O172" i="20"/>
  <c r="L172" i="20"/>
  <c r="M172" i="20" s="1"/>
  <c r="J172" i="20"/>
  <c r="F172" i="20"/>
  <c r="N171" i="20"/>
  <c r="F171" i="20"/>
  <c r="K171" i="20"/>
  <c r="L171" i="20" s="1"/>
  <c r="M171" i="20" s="1"/>
  <c r="N170" i="20"/>
  <c r="O170" i="20"/>
  <c r="K170" i="20"/>
  <c r="L170" i="20" s="1"/>
  <c r="F170" i="20"/>
  <c r="F169" i="20"/>
  <c r="J169" i="20"/>
  <c r="L169" i="20"/>
  <c r="M169" i="20" s="1"/>
  <c r="N168" i="20"/>
  <c r="O168" i="20"/>
  <c r="K168" i="20"/>
  <c r="L168" i="20" s="1"/>
  <c r="M168" i="20" s="1"/>
  <c r="F168" i="20"/>
  <c r="N167" i="20"/>
  <c r="F167" i="20"/>
  <c r="K167" i="20"/>
  <c r="L167" i="20" s="1"/>
  <c r="M167" i="20" s="1"/>
  <c r="K166" i="20"/>
  <c r="L166" i="20" s="1"/>
  <c r="F166" i="20"/>
  <c r="F165" i="20"/>
  <c r="K165" i="20"/>
  <c r="L165" i="20" s="1"/>
  <c r="M165" i="20" s="1"/>
  <c r="N164" i="20"/>
  <c r="O164" i="20"/>
  <c r="K164" i="20"/>
  <c r="L164" i="20" s="1"/>
  <c r="F164" i="20"/>
  <c r="O163" i="20"/>
  <c r="K163" i="20"/>
  <c r="L163" i="20" s="1"/>
  <c r="M163" i="20" s="1"/>
  <c r="F163" i="20"/>
  <c r="O162" i="20"/>
  <c r="N162" i="20"/>
  <c r="F162" i="20"/>
  <c r="K162" i="20"/>
  <c r="L162" i="20" s="1"/>
  <c r="M162" i="20" s="1"/>
  <c r="O161" i="20"/>
  <c r="K161" i="20"/>
  <c r="L161" i="20" s="1"/>
  <c r="F161" i="20"/>
  <c r="O160" i="20"/>
  <c r="N160" i="20"/>
  <c r="K160" i="20"/>
  <c r="L160" i="20" s="1"/>
  <c r="F160" i="20"/>
  <c r="O159" i="20"/>
  <c r="K159" i="20"/>
  <c r="L159" i="20" s="1"/>
  <c r="M159" i="20" s="1"/>
  <c r="O158" i="20"/>
  <c r="K158" i="20"/>
  <c r="L158" i="20" s="1"/>
  <c r="M158" i="20" s="1"/>
  <c r="F158" i="20"/>
  <c r="O157" i="20"/>
  <c r="N157" i="20"/>
  <c r="K157" i="20"/>
  <c r="L157" i="20" s="1"/>
  <c r="F157" i="20"/>
  <c r="O156" i="20"/>
  <c r="K156" i="20"/>
  <c r="L156" i="20" s="1"/>
  <c r="M156" i="20" s="1"/>
  <c r="F156" i="20"/>
  <c r="O155" i="20"/>
  <c r="K155" i="20"/>
  <c r="L155" i="20" s="1"/>
  <c r="F155" i="20"/>
  <c r="K154" i="20"/>
  <c r="L154" i="20" s="1"/>
  <c r="M154" i="20" s="1"/>
  <c r="F154" i="20"/>
  <c r="O153" i="20"/>
  <c r="K153" i="20"/>
  <c r="L153" i="20" s="1"/>
  <c r="F153" i="20"/>
  <c r="O152" i="20"/>
  <c r="K152" i="20"/>
  <c r="L152" i="20" s="1"/>
  <c r="M152" i="20" s="1"/>
  <c r="F152" i="20"/>
  <c r="O151" i="20"/>
  <c r="K151" i="20"/>
  <c r="L151" i="20" s="1"/>
  <c r="M151" i="20" s="1"/>
  <c r="F151" i="20"/>
  <c r="O150" i="20"/>
  <c r="N150" i="20"/>
  <c r="K150" i="20"/>
  <c r="L150" i="20" s="1"/>
  <c r="M150" i="20" s="1"/>
  <c r="F150" i="20"/>
  <c r="K149" i="20"/>
  <c r="L149" i="20" s="1"/>
  <c r="M149" i="20" s="1"/>
  <c r="O148" i="20"/>
  <c r="L148" i="20"/>
  <c r="M148" i="20" s="1"/>
  <c r="F148" i="20"/>
  <c r="O147" i="20"/>
  <c r="K147" i="20"/>
  <c r="L147" i="20" s="1"/>
  <c r="F147" i="20"/>
  <c r="O146" i="20"/>
  <c r="L146" i="20"/>
  <c r="M146" i="20" s="1"/>
  <c r="F146" i="20"/>
  <c r="O145" i="20"/>
  <c r="L145" i="20"/>
  <c r="F145" i="20"/>
  <c r="O144" i="20"/>
  <c r="K144" i="20"/>
  <c r="L144" i="20" s="1"/>
  <c r="F144" i="20"/>
  <c r="N143" i="20"/>
  <c r="O143" i="20"/>
  <c r="K143" i="20"/>
  <c r="L143" i="20" s="1"/>
  <c r="F143" i="20"/>
  <c r="N142" i="20"/>
  <c r="F142" i="20"/>
  <c r="K142" i="20"/>
  <c r="L142" i="20" s="1"/>
  <c r="M142" i="20" s="1"/>
  <c r="N141" i="20"/>
  <c r="O141" i="20"/>
  <c r="K141" i="20"/>
  <c r="L141" i="20" s="1"/>
  <c r="M141" i="20" s="1"/>
  <c r="F141" i="20"/>
  <c r="N140" i="20"/>
  <c r="F140" i="20"/>
  <c r="K140" i="20"/>
  <c r="L140" i="20" s="1"/>
  <c r="M140" i="20" s="1"/>
  <c r="N139" i="20"/>
  <c r="O139" i="20"/>
  <c r="K139" i="20"/>
  <c r="L139" i="20" s="1"/>
  <c r="M139" i="20" s="1"/>
  <c r="F139" i="20"/>
  <c r="N138" i="20"/>
  <c r="F138" i="20"/>
  <c r="K138" i="20"/>
  <c r="L138" i="20" s="1"/>
  <c r="M138" i="20" s="1"/>
  <c r="N137" i="20"/>
  <c r="O137" i="20"/>
  <c r="K137" i="20"/>
  <c r="L137" i="20" s="1"/>
  <c r="M137" i="20" s="1"/>
  <c r="F137" i="20"/>
  <c r="O136" i="20"/>
  <c r="K136" i="20"/>
  <c r="L136" i="20" s="1"/>
  <c r="M136" i="20" s="1"/>
  <c r="F136" i="20"/>
  <c r="O135" i="20"/>
  <c r="K135" i="20"/>
  <c r="L135" i="20" s="1"/>
  <c r="M135" i="20" s="1"/>
  <c r="F135" i="20"/>
  <c r="O134" i="20"/>
  <c r="N134" i="20"/>
  <c r="K134" i="20"/>
  <c r="L134" i="20" s="1"/>
  <c r="F134" i="20"/>
  <c r="O133" i="20"/>
  <c r="K133" i="20"/>
  <c r="L133" i="20" s="1"/>
  <c r="M133" i="20" s="1"/>
  <c r="F133" i="20"/>
  <c r="O132" i="20"/>
  <c r="J132" i="20"/>
  <c r="L132" i="20"/>
  <c r="M132" i="20" s="1"/>
  <c r="F132" i="20"/>
  <c r="N131" i="20"/>
  <c r="O131" i="20"/>
  <c r="L131" i="20"/>
  <c r="M131" i="20" s="1"/>
  <c r="O130" i="20"/>
  <c r="N130" i="20"/>
  <c r="K130" i="20"/>
  <c r="L130" i="20" s="1"/>
  <c r="M130" i="20" s="1"/>
  <c r="F130" i="20"/>
  <c r="O129" i="20"/>
  <c r="K129" i="20"/>
  <c r="L129" i="20" s="1"/>
  <c r="O128" i="20"/>
  <c r="K128" i="20"/>
  <c r="L128" i="20" s="1"/>
  <c r="F128" i="20"/>
  <c r="N127" i="20"/>
  <c r="O127" i="20"/>
  <c r="L127" i="20"/>
  <c r="M127" i="20" s="1"/>
  <c r="F127" i="20"/>
  <c r="O126" i="20"/>
  <c r="R126" i="20" s="1"/>
  <c r="I126" i="20"/>
  <c r="O125" i="20"/>
  <c r="R125" i="20" s="1"/>
  <c r="F125" i="20"/>
  <c r="O124" i="20"/>
  <c r="K124" i="20"/>
  <c r="L124" i="20" s="1"/>
  <c r="M124" i="20" s="1"/>
  <c r="F124" i="20"/>
  <c r="N123" i="20"/>
  <c r="O123" i="20"/>
  <c r="L123" i="20"/>
  <c r="F123" i="20"/>
  <c r="O122" i="20"/>
  <c r="R122" i="20" s="1"/>
  <c r="F122" i="20"/>
  <c r="I121" i="20"/>
  <c r="N120" i="20"/>
  <c r="L120" i="20"/>
  <c r="M120" i="20" s="1"/>
  <c r="J120" i="20"/>
  <c r="O119" i="20"/>
  <c r="N119" i="20"/>
  <c r="F119" i="20"/>
  <c r="K119" i="20"/>
  <c r="L119" i="20" s="1"/>
  <c r="O118" i="20"/>
  <c r="K118" i="20"/>
  <c r="L118" i="20" s="1"/>
  <c r="F118" i="20"/>
  <c r="O117" i="20"/>
  <c r="K117" i="20"/>
  <c r="L117" i="20" s="1"/>
  <c r="M117" i="20" s="1"/>
  <c r="F117" i="20"/>
  <c r="O116" i="20"/>
  <c r="K116" i="20"/>
  <c r="L116" i="20" s="1"/>
  <c r="F116" i="20"/>
  <c r="O115" i="20"/>
  <c r="K115" i="20"/>
  <c r="L115" i="20" s="1"/>
  <c r="F115" i="20"/>
  <c r="O114" i="20"/>
  <c r="K114" i="20"/>
  <c r="L114" i="20" s="1"/>
  <c r="M114" i="20" s="1"/>
  <c r="F114" i="20"/>
  <c r="N113" i="20"/>
  <c r="O113" i="20"/>
  <c r="K113" i="20"/>
  <c r="L113" i="20" s="1"/>
  <c r="M113" i="20" s="1"/>
  <c r="F113" i="20"/>
  <c r="O112" i="20"/>
  <c r="K112" i="20"/>
  <c r="L112" i="20" s="1"/>
  <c r="F112" i="20"/>
  <c r="O111" i="20"/>
  <c r="K111" i="20"/>
  <c r="L111" i="20" s="1"/>
  <c r="M111" i="20" s="1"/>
  <c r="F111" i="20"/>
  <c r="O110" i="20"/>
  <c r="K110" i="20"/>
  <c r="L110" i="20" s="1"/>
  <c r="F110" i="20"/>
  <c r="O109" i="20"/>
  <c r="K109" i="20"/>
  <c r="L109" i="20" s="1"/>
  <c r="F109" i="20"/>
  <c r="O108" i="20"/>
  <c r="K108" i="20"/>
  <c r="L108" i="20" s="1"/>
  <c r="F108" i="20"/>
  <c r="O107" i="20"/>
  <c r="K107" i="20"/>
  <c r="L107" i="20" s="1"/>
  <c r="F107" i="20"/>
  <c r="O106" i="20"/>
  <c r="K106" i="20"/>
  <c r="L106" i="20" s="1"/>
  <c r="F106" i="20"/>
  <c r="O105" i="20"/>
  <c r="K105" i="20"/>
  <c r="L105" i="20" s="1"/>
  <c r="M105" i="20" s="1"/>
  <c r="F105" i="20"/>
  <c r="O104" i="20"/>
  <c r="L104" i="20"/>
  <c r="F104" i="20"/>
  <c r="O103" i="20"/>
  <c r="N103" i="20"/>
  <c r="K103" i="20"/>
  <c r="L103" i="20" s="1"/>
  <c r="F103" i="20"/>
  <c r="O102" i="20"/>
  <c r="K102" i="20"/>
  <c r="L102" i="20" s="1"/>
  <c r="M102" i="20" s="1"/>
  <c r="F102" i="20"/>
  <c r="O101" i="20"/>
  <c r="K101" i="20"/>
  <c r="L101" i="20" s="1"/>
  <c r="F101" i="20"/>
  <c r="O100" i="20"/>
  <c r="K100" i="20"/>
  <c r="L100" i="20" s="1"/>
  <c r="F100" i="20"/>
  <c r="O99" i="20"/>
  <c r="K99" i="20"/>
  <c r="L99" i="20" s="1"/>
  <c r="M99" i="20" s="1"/>
  <c r="F99" i="20"/>
  <c r="O98" i="20"/>
  <c r="K98" i="20"/>
  <c r="L98" i="20" s="1"/>
  <c r="F98" i="20"/>
  <c r="N97" i="20"/>
  <c r="K97" i="20"/>
  <c r="L97" i="20" s="1"/>
  <c r="M97" i="20" s="1"/>
  <c r="O96" i="20"/>
  <c r="K96" i="20"/>
  <c r="L96" i="20" s="1"/>
  <c r="F96" i="20"/>
  <c r="O95" i="20"/>
  <c r="K95" i="20"/>
  <c r="L95" i="20" s="1"/>
  <c r="M95" i="20" s="1"/>
  <c r="F95" i="20"/>
  <c r="O94" i="20"/>
  <c r="N94" i="20"/>
  <c r="K94" i="20"/>
  <c r="L94" i="20" s="1"/>
  <c r="F94" i="20"/>
  <c r="N93" i="20"/>
  <c r="K93" i="20"/>
  <c r="L93" i="20" s="1"/>
  <c r="M93" i="20" s="1"/>
  <c r="N92" i="20"/>
  <c r="K92" i="20"/>
  <c r="L92" i="20" s="1"/>
  <c r="O91" i="20"/>
  <c r="K91" i="20"/>
  <c r="L91" i="20" s="1"/>
  <c r="M91" i="20" s="1"/>
  <c r="F91" i="20"/>
  <c r="O90" i="20"/>
  <c r="N90" i="20"/>
  <c r="K90" i="20"/>
  <c r="L90" i="20" s="1"/>
  <c r="F90" i="20"/>
  <c r="N89" i="20"/>
  <c r="L89" i="20"/>
  <c r="M89" i="20" s="1"/>
  <c r="J89" i="20"/>
  <c r="N88" i="20"/>
  <c r="K88" i="20"/>
  <c r="L88" i="20" s="1"/>
  <c r="M88" i="20" s="1"/>
  <c r="K87" i="20"/>
  <c r="L87" i="20" s="1"/>
  <c r="M87" i="20" s="1"/>
  <c r="O86" i="20"/>
  <c r="K86" i="20"/>
  <c r="L86" i="20" s="1"/>
  <c r="F86" i="20"/>
  <c r="O85" i="20"/>
  <c r="K85" i="20"/>
  <c r="L85" i="20" s="1"/>
  <c r="M85" i="20" s="1"/>
  <c r="F85" i="20"/>
  <c r="N84" i="20"/>
  <c r="K84" i="20"/>
  <c r="L84" i="20" s="1"/>
  <c r="O83" i="20"/>
  <c r="R83" i="20" s="1"/>
  <c r="F83" i="20"/>
  <c r="K82" i="20"/>
  <c r="L82" i="20" s="1"/>
  <c r="M82" i="20" s="1"/>
  <c r="I82" i="20"/>
  <c r="O82" i="20"/>
  <c r="N81" i="20"/>
  <c r="K81" i="20"/>
  <c r="L81" i="20" s="1"/>
  <c r="M81" i="20" s="1"/>
  <c r="I81" i="20"/>
  <c r="F81" i="20"/>
  <c r="O80" i="20"/>
  <c r="L80" i="20"/>
  <c r="M80" i="20" s="1"/>
  <c r="F80" i="20"/>
  <c r="N79" i="20"/>
  <c r="I79" i="20"/>
  <c r="O78" i="20"/>
  <c r="K78" i="20"/>
  <c r="L78" i="20" s="1"/>
  <c r="F78" i="20"/>
  <c r="O77" i="20"/>
  <c r="N77" i="20"/>
  <c r="L77" i="20"/>
  <c r="M77" i="20" s="1"/>
  <c r="J77" i="20"/>
  <c r="F77" i="20"/>
  <c r="O76" i="20"/>
  <c r="N76" i="20"/>
  <c r="J76" i="20"/>
  <c r="L76" i="20"/>
  <c r="M76" i="20" s="1"/>
  <c r="F76" i="20"/>
  <c r="O75" i="20"/>
  <c r="L75" i="20"/>
  <c r="M75" i="20" s="1"/>
  <c r="J75" i="20"/>
  <c r="F75" i="20"/>
  <c r="O74" i="20"/>
  <c r="K74" i="20"/>
  <c r="L74" i="20" s="1"/>
  <c r="M74" i="20" s="1"/>
  <c r="F74" i="20"/>
  <c r="N73" i="20"/>
  <c r="O73" i="20"/>
  <c r="K73" i="20"/>
  <c r="L73" i="20" s="1"/>
  <c r="F73" i="20"/>
  <c r="O72" i="20"/>
  <c r="K72" i="20"/>
  <c r="L72" i="20" s="1"/>
  <c r="F72" i="20"/>
  <c r="O71" i="20"/>
  <c r="K71" i="20"/>
  <c r="L71" i="20" s="1"/>
  <c r="M71" i="20" s="1"/>
  <c r="F71" i="20"/>
  <c r="O70" i="20"/>
  <c r="K70" i="20"/>
  <c r="L70" i="20" s="1"/>
  <c r="F70" i="20"/>
  <c r="O69" i="20"/>
  <c r="K69" i="20"/>
  <c r="L69" i="20" s="1"/>
  <c r="M69" i="20" s="1"/>
  <c r="F69" i="20"/>
  <c r="O68" i="20"/>
  <c r="K68" i="20"/>
  <c r="L68" i="20" s="1"/>
  <c r="F68" i="20"/>
  <c r="O67" i="20"/>
  <c r="F67" i="20"/>
  <c r="K67" i="20"/>
  <c r="L67" i="20" s="1"/>
  <c r="O66" i="20"/>
  <c r="K66" i="20"/>
  <c r="L66" i="20" s="1"/>
  <c r="M66" i="20" s="1"/>
  <c r="F66" i="20"/>
  <c r="O65" i="20"/>
  <c r="K65" i="20"/>
  <c r="L65" i="20" s="1"/>
  <c r="M65" i="20" s="1"/>
  <c r="F65" i="20"/>
  <c r="O64" i="20"/>
  <c r="K64" i="20"/>
  <c r="L64" i="20" s="1"/>
  <c r="F64" i="20"/>
  <c r="O63" i="20"/>
  <c r="K63" i="20"/>
  <c r="L63" i="20" s="1"/>
  <c r="F63" i="20"/>
  <c r="N62" i="20"/>
  <c r="O62" i="20"/>
  <c r="K62" i="20"/>
  <c r="L62" i="20" s="1"/>
  <c r="F62" i="20"/>
  <c r="O61" i="20"/>
  <c r="N61" i="20"/>
  <c r="K61" i="20"/>
  <c r="L61" i="20" s="1"/>
  <c r="F61" i="20"/>
  <c r="O60" i="20"/>
  <c r="K60" i="20"/>
  <c r="L60" i="20" s="1"/>
  <c r="F60" i="20"/>
  <c r="N59" i="20"/>
  <c r="K59" i="20"/>
  <c r="L59" i="20" s="1"/>
  <c r="M59" i="20" s="1"/>
  <c r="N58" i="20"/>
  <c r="O58" i="20"/>
  <c r="K58" i="20"/>
  <c r="L58" i="20" s="1"/>
  <c r="M58" i="20" s="1"/>
  <c r="F58" i="20"/>
  <c r="K57" i="20"/>
  <c r="L57" i="20" s="1"/>
  <c r="G57" i="20" s="1"/>
  <c r="N56" i="20"/>
  <c r="K56" i="20"/>
  <c r="L56" i="20" s="1"/>
  <c r="G56" i="20" s="1"/>
  <c r="N55" i="20"/>
  <c r="O55" i="20"/>
  <c r="K55" i="20"/>
  <c r="L55" i="20" s="1"/>
  <c r="M55" i="20" s="1"/>
  <c r="F55" i="20"/>
  <c r="O54" i="20"/>
  <c r="K54" i="20"/>
  <c r="L54" i="20" s="1"/>
  <c r="F54" i="20"/>
  <c r="O53" i="20"/>
  <c r="K53" i="20"/>
  <c r="L53" i="20" s="1"/>
  <c r="M53" i="20" s="1"/>
  <c r="F53" i="20"/>
  <c r="O52" i="20"/>
  <c r="K52" i="20"/>
  <c r="L52" i="20" s="1"/>
  <c r="O51" i="20"/>
  <c r="K51" i="20"/>
  <c r="L51" i="20" s="1"/>
  <c r="F51" i="20"/>
  <c r="O50" i="20"/>
  <c r="K50" i="20"/>
  <c r="L50" i="20" s="1"/>
  <c r="F50" i="20"/>
  <c r="O49" i="20"/>
  <c r="K49" i="20"/>
  <c r="L49" i="20" s="1"/>
  <c r="M49" i="20" s="1"/>
  <c r="F49" i="20"/>
  <c r="O48" i="20"/>
  <c r="K48" i="20"/>
  <c r="L48" i="20" s="1"/>
  <c r="M48" i="20" s="1"/>
  <c r="F48" i="20"/>
  <c r="O47" i="20"/>
  <c r="K47" i="20"/>
  <c r="L47" i="20" s="1"/>
  <c r="F47" i="20"/>
  <c r="O46" i="20"/>
  <c r="N46" i="20"/>
  <c r="K46" i="20"/>
  <c r="L46" i="20" s="1"/>
  <c r="F46" i="20"/>
  <c r="N45" i="20"/>
  <c r="O45" i="20"/>
  <c r="K45" i="20"/>
  <c r="L45" i="20" s="1"/>
  <c r="F45" i="20"/>
  <c r="N44" i="20"/>
  <c r="K44" i="20"/>
  <c r="L44" i="20" s="1"/>
  <c r="O43" i="20"/>
  <c r="K43" i="20"/>
  <c r="L43" i="20" s="1"/>
  <c r="F43" i="20"/>
  <c r="O42" i="20"/>
  <c r="K42" i="20"/>
  <c r="L42" i="20" s="1"/>
  <c r="M42" i="20" s="1"/>
  <c r="F42" i="20"/>
  <c r="O41" i="20"/>
  <c r="K41" i="20"/>
  <c r="L41" i="20" s="1"/>
  <c r="M41" i="20" s="1"/>
  <c r="F41" i="20"/>
  <c r="O40" i="20"/>
  <c r="K40" i="20"/>
  <c r="L40" i="20" s="1"/>
  <c r="F40" i="20"/>
  <c r="O39" i="20"/>
  <c r="K39" i="20"/>
  <c r="L39" i="20" s="1"/>
  <c r="F39" i="20"/>
  <c r="O38" i="20"/>
  <c r="K38" i="20"/>
  <c r="L38" i="20" s="1"/>
  <c r="M38" i="20" s="1"/>
  <c r="F38" i="20"/>
  <c r="N37" i="20"/>
  <c r="O37" i="20"/>
  <c r="K37" i="20"/>
  <c r="L37" i="20" s="1"/>
  <c r="F37" i="20"/>
  <c r="K36" i="20"/>
  <c r="F36" i="20"/>
  <c r="O35" i="20"/>
  <c r="K35" i="20"/>
  <c r="L35" i="20" s="1"/>
  <c r="F35" i="20"/>
  <c r="O34" i="20"/>
  <c r="K34" i="20"/>
  <c r="L34" i="20" s="1"/>
  <c r="F34" i="20"/>
  <c r="O33" i="20"/>
  <c r="K33" i="20"/>
  <c r="L33" i="20" s="1"/>
  <c r="M33" i="20" s="1"/>
  <c r="F33" i="20"/>
  <c r="O32" i="20"/>
  <c r="K32" i="20"/>
  <c r="L32" i="20" s="1"/>
  <c r="M32" i="20" s="1"/>
  <c r="F32" i="20"/>
  <c r="N31" i="20"/>
  <c r="F31" i="20"/>
  <c r="L31" i="20"/>
  <c r="M31" i="20" s="1"/>
  <c r="J31" i="20"/>
  <c r="N30" i="20"/>
  <c r="O30" i="20"/>
  <c r="K30" i="20"/>
  <c r="L30" i="20" s="1"/>
  <c r="F30" i="20"/>
  <c r="N29" i="20"/>
  <c r="F29" i="20"/>
  <c r="K29" i="20"/>
  <c r="L29" i="20" s="1"/>
  <c r="M29" i="20" s="1"/>
  <c r="N28" i="20"/>
  <c r="O28" i="20"/>
  <c r="K28" i="20"/>
  <c r="L28" i="20" s="1"/>
  <c r="O27" i="20"/>
  <c r="K27" i="20"/>
  <c r="L27" i="20" s="1"/>
  <c r="M27" i="20" s="1"/>
  <c r="F27" i="20"/>
  <c r="O26" i="20"/>
  <c r="N26" i="20"/>
  <c r="K26" i="20"/>
  <c r="L26" i="20" s="1"/>
  <c r="M26" i="20" s="1"/>
  <c r="F26" i="20"/>
  <c r="O25" i="20"/>
  <c r="K25" i="20"/>
  <c r="L25" i="20" s="1"/>
  <c r="M25" i="20" s="1"/>
  <c r="O24" i="20"/>
  <c r="N24" i="20"/>
  <c r="K24" i="20"/>
  <c r="L24" i="20" s="1"/>
  <c r="M24" i="20" s="1"/>
  <c r="F24" i="20"/>
  <c r="N23" i="20"/>
  <c r="O23" i="20"/>
  <c r="K23" i="20"/>
  <c r="L23" i="20" s="1"/>
  <c r="O22" i="20"/>
  <c r="K22" i="20"/>
  <c r="L22" i="20" s="1"/>
  <c r="F22" i="20"/>
  <c r="O21" i="20"/>
  <c r="K21" i="20"/>
  <c r="L21" i="20" s="1"/>
  <c r="M21" i="20" s="1"/>
  <c r="F21" i="20"/>
  <c r="O20" i="20"/>
  <c r="N20" i="20"/>
  <c r="K20" i="20"/>
  <c r="L20" i="20" s="1"/>
  <c r="F20" i="20"/>
  <c r="F19" i="20"/>
  <c r="K19" i="20"/>
  <c r="L19" i="20" s="1"/>
  <c r="O18" i="20"/>
  <c r="K18" i="20"/>
  <c r="L18" i="20" s="1"/>
  <c r="F18" i="20"/>
  <c r="O17" i="20"/>
  <c r="K17" i="20"/>
  <c r="L17" i="20" s="1"/>
  <c r="M17" i="20" s="1"/>
  <c r="F17" i="20"/>
  <c r="O16" i="20"/>
  <c r="K16" i="20"/>
  <c r="L16" i="20" s="1"/>
  <c r="M16" i="20" s="1"/>
  <c r="F16" i="20"/>
  <c r="O15" i="20"/>
  <c r="K15" i="20"/>
  <c r="L15" i="20" s="1"/>
  <c r="M15" i="20" s="1"/>
  <c r="F15" i="20"/>
  <c r="O14" i="20"/>
  <c r="K14" i="20"/>
  <c r="L14" i="20" s="1"/>
  <c r="F14" i="20"/>
  <c r="O13" i="20"/>
  <c r="K13" i="20"/>
  <c r="L13" i="20" s="1"/>
  <c r="M13" i="20" s="1"/>
  <c r="F13" i="20"/>
  <c r="O12" i="20"/>
  <c r="K12" i="20"/>
  <c r="L12" i="20" s="1"/>
  <c r="F12" i="20"/>
  <c r="O11" i="20"/>
  <c r="K11" i="20"/>
  <c r="L11" i="20" s="1"/>
  <c r="M11" i="20" s="1"/>
  <c r="F11" i="20"/>
  <c r="O10" i="20"/>
  <c r="K10" i="20"/>
  <c r="L10" i="20" s="1"/>
  <c r="M10" i="20" s="1"/>
  <c r="F10" i="20"/>
  <c r="O9" i="20"/>
  <c r="K9" i="20"/>
  <c r="L9" i="20" s="1"/>
  <c r="M9" i="20" s="1"/>
  <c r="F9" i="20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N8" i="20"/>
  <c r="O8" i="20"/>
  <c r="K8" i="20"/>
  <c r="L8" i="20" s="1"/>
  <c r="M8" i="20" s="1"/>
  <c r="F8" i="20"/>
  <c r="O19" i="20"/>
  <c r="F23" i="20"/>
  <c r="F25" i="20"/>
  <c r="F52" i="20"/>
  <c r="O88" i="20"/>
  <c r="F88" i="20"/>
  <c r="F28" i="20"/>
  <c r="O29" i="20"/>
  <c r="F84" i="20"/>
  <c r="O84" i="20"/>
  <c r="F44" i="20"/>
  <c r="O44" i="20"/>
  <c r="O79" i="20"/>
  <c r="P79" i="20" s="1"/>
  <c r="R79" i="20" s="1"/>
  <c r="M79" i="20"/>
  <c r="F79" i="20"/>
  <c r="G79" i="20" s="1"/>
  <c r="F97" i="20"/>
  <c r="O97" i="20"/>
  <c r="O31" i="20"/>
  <c r="F59" i="20"/>
  <c r="O59" i="20"/>
  <c r="O92" i="20"/>
  <c r="F92" i="20"/>
  <c r="O93" i="20"/>
  <c r="F93" i="20"/>
  <c r="O120" i="20"/>
  <c r="F120" i="20"/>
  <c r="O81" i="20"/>
  <c r="F87" i="20"/>
  <c r="O87" i="20"/>
  <c r="F89" i="20"/>
  <c r="O89" i="20"/>
  <c r="F121" i="20"/>
  <c r="O121" i="20"/>
  <c r="R121" i="20" s="1"/>
  <c r="F149" i="20"/>
  <c r="O149" i="20"/>
  <c r="O176" i="20"/>
  <c r="F176" i="20"/>
  <c r="F216" i="20"/>
  <c r="O216" i="20"/>
  <c r="F82" i="20"/>
  <c r="F126" i="20"/>
  <c r="F182" i="20"/>
  <c r="O182" i="20"/>
  <c r="F175" i="20"/>
  <c r="F131" i="20"/>
  <c r="O138" i="20"/>
  <c r="O140" i="20"/>
  <c r="O142" i="20"/>
  <c r="O154" i="20"/>
  <c r="F159" i="20"/>
  <c r="F189" i="20"/>
  <c r="F228" i="20"/>
  <c r="O228" i="20"/>
  <c r="O165" i="20"/>
  <c r="O167" i="20"/>
  <c r="O169" i="20"/>
  <c r="O171" i="20"/>
  <c r="F206" i="20"/>
  <c r="O206" i="20"/>
  <c r="F197" i="20"/>
  <c r="O197" i="20"/>
  <c r="F210" i="20"/>
  <c r="O210" i="20"/>
  <c r="F226" i="20"/>
  <c r="O226" i="20"/>
  <c r="G149" i="20" l="1"/>
  <c r="G213" i="20"/>
  <c r="G167" i="20"/>
  <c r="G216" i="20"/>
  <c r="P228" i="20"/>
  <c r="R228" i="20" s="1"/>
  <c r="G226" i="20"/>
  <c r="G227" i="20"/>
  <c r="G229" i="20"/>
  <c r="G93" i="20"/>
  <c r="G135" i="20"/>
  <c r="G140" i="20"/>
  <c r="G29" i="20"/>
  <c r="P22" i="20"/>
  <c r="R22" i="20" s="1"/>
  <c r="P50" i="20"/>
  <c r="R50" i="20" s="1"/>
  <c r="P76" i="20"/>
  <c r="R76" i="20" s="1"/>
  <c r="G132" i="20"/>
  <c r="G160" i="20"/>
  <c r="G88" i="20"/>
  <c r="P40" i="20"/>
  <c r="P70" i="20"/>
  <c r="M57" i="20"/>
  <c r="P27" i="20"/>
  <c r="R27" i="20" s="1"/>
  <c r="G189" i="20"/>
  <c r="P219" i="20"/>
  <c r="R219" i="20" s="1"/>
  <c r="P235" i="20"/>
  <c r="R235" i="20" s="1"/>
  <c r="P227" i="20"/>
  <c r="R227" i="20" s="1"/>
  <c r="P182" i="20"/>
  <c r="R182" i="20" s="1"/>
  <c r="G120" i="20"/>
  <c r="G76" i="20"/>
  <c r="P104" i="20"/>
  <c r="R104" i="20" s="1"/>
  <c r="G145" i="20"/>
  <c r="P186" i="20"/>
  <c r="R186" i="20" s="1"/>
  <c r="G209" i="20"/>
  <c r="G217" i="20"/>
  <c r="P201" i="20"/>
  <c r="R201" i="20" s="1"/>
  <c r="G154" i="20"/>
  <c r="G214" i="20"/>
  <c r="G42" i="20"/>
  <c r="P55" i="20"/>
  <c r="R55" i="20" s="1"/>
  <c r="G131" i="20"/>
  <c r="P158" i="20"/>
  <c r="G177" i="20"/>
  <c r="G196" i="20"/>
  <c r="P198" i="20"/>
  <c r="R198" i="20" s="1"/>
  <c r="P200" i="20"/>
  <c r="R200" i="20" s="1"/>
  <c r="P218" i="20"/>
  <c r="G169" i="20"/>
  <c r="G219" i="20"/>
  <c r="G49" i="20"/>
  <c r="P110" i="20"/>
  <c r="R110" i="20" s="1"/>
  <c r="P215" i="20"/>
  <c r="R215" i="20" s="1"/>
  <c r="P220" i="20"/>
  <c r="R220" i="20" s="1"/>
  <c r="G244" i="20"/>
  <c r="P120" i="20"/>
  <c r="R120" i="20" s="1"/>
  <c r="P89" i="20"/>
  <c r="R89" i="20" s="1"/>
  <c r="G110" i="20"/>
  <c r="P35" i="20"/>
  <c r="G62" i="20"/>
  <c r="G161" i="20"/>
  <c r="P237" i="20"/>
  <c r="R237" i="20" s="1"/>
  <c r="P109" i="20"/>
  <c r="R109" i="20" s="1"/>
  <c r="G128" i="20"/>
  <c r="P130" i="20"/>
  <c r="R130" i="20" s="1"/>
  <c r="G157" i="20"/>
  <c r="P159" i="20"/>
  <c r="P239" i="20"/>
  <c r="P240" i="20"/>
  <c r="P176" i="20"/>
  <c r="R176" i="20" s="1"/>
  <c r="G24" i="20"/>
  <c r="G176" i="20"/>
  <c r="P19" i="20"/>
  <c r="L36" i="20"/>
  <c r="M36" i="20" s="1"/>
  <c r="G112" i="20"/>
  <c r="P123" i="20"/>
  <c r="G224" i="20"/>
  <c r="G243" i="20"/>
  <c r="M241" i="20"/>
  <c r="G241" i="20"/>
  <c r="P149" i="20"/>
  <c r="M198" i="20"/>
  <c r="G200" i="20"/>
  <c r="P13" i="20"/>
  <c r="G48" i="20"/>
  <c r="P51" i="20"/>
  <c r="R51" i="20" s="1"/>
  <c r="P69" i="20"/>
  <c r="P86" i="20"/>
  <c r="R86" i="20" s="1"/>
  <c r="P128" i="20"/>
  <c r="P132" i="20"/>
  <c r="R132" i="20" s="1"/>
  <c r="G155" i="20"/>
  <c r="G193" i="20"/>
  <c r="G199" i="20"/>
  <c r="G205" i="20"/>
  <c r="P208" i="20"/>
  <c r="R208" i="20" s="1"/>
  <c r="P211" i="20"/>
  <c r="R211" i="20" s="1"/>
  <c r="G212" i="20"/>
  <c r="P221" i="20"/>
  <c r="R221" i="20" s="1"/>
  <c r="P231" i="20"/>
  <c r="R231" i="20" s="1"/>
  <c r="P232" i="20"/>
  <c r="R232" i="20" s="1"/>
  <c r="P229" i="20"/>
  <c r="R229" i="20" s="1"/>
  <c r="P217" i="20"/>
  <c r="R217" i="20" s="1"/>
  <c r="G218" i="20"/>
  <c r="G158" i="20"/>
  <c r="G198" i="20"/>
  <c r="G204" i="20"/>
  <c r="G225" i="20"/>
  <c r="P88" i="20"/>
  <c r="R88" i="20" s="1"/>
  <c r="G138" i="20"/>
  <c r="G237" i="20"/>
  <c r="G66" i="20"/>
  <c r="G195" i="20"/>
  <c r="P209" i="20"/>
  <c r="R209" i="20" s="1"/>
  <c r="G233" i="20"/>
  <c r="M92" i="20"/>
  <c r="P92" i="20"/>
  <c r="M174" i="20"/>
  <c r="P174" i="20"/>
  <c r="G174" i="20"/>
  <c r="G41" i="20"/>
  <c r="G16" i="20"/>
  <c r="P9" i="20"/>
  <c r="R9" i="20" s="1"/>
  <c r="G11" i="20"/>
  <c r="P32" i="20"/>
  <c r="P41" i="20"/>
  <c r="G52" i="20"/>
  <c r="P60" i="20"/>
  <c r="R60" i="20" s="1"/>
  <c r="P77" i="20"/>
  <c r="R77" i="20" s="1"/>
  <c r="P95" i="20"/>
  <c r="P117" i="20"/>
  <c r="R117" i="20" s="1"/>
  <c r="P137" i="20"/>
  <c r="R137" i="20" s="1"/>
  <c r="P172" i="20"/>
  <c r="R172" i="20" s="1"/>
  <c r="P175" i="20"/>
  <c r="G185" i="20"/>
  <c r="G186" i="20"/>
  <c r="P188" i="20"/>
  <c r="P169" i="20"/>
  <c r="R169" i="20" s="1"/>
  <c r="G208" i="20"/>
  <c r="G202" i="20"/>
  <c r="G181" i="20"/>
  <c r="M51" i="20"/>
  <c r="G38" i="20"/>
  <c r="G44" i="20"/>
  <c r="P64" i="20"/>
  <c r="R64" i="20" s="1"/>
  <c r="G81" i="20"/>
  <c r="G84" i="20"/>
  <c r="P113" i="20"/>
  <c r="R113" i="20" s="1"/>
  <c r="G152" i="20"/>
  <c r="P161" i="20"/>
  <c r="R161" i="20" s="1"/>
  <c r="P181" i="20"/>
  <c r="R181" i="20" s="1"/>
  <c r="P167" i="20"/>
  <c r="R167" i="20" s="1"/>
  <c r="G165" i="20"/>
  <c r="M221" i="20"/>
  <c r="G206" i="20"/>
  <c r="P204" i="20"/>
  <c r="P140" i="20"/>
  <c r="R140" i="20" s="1"/>
  <c r="M215" i="20"/>
  <c r="P226" i="20"/>
  <c r="R226" i="20" s="1"/>
  <c r="G240" i="20"/>
  <c r="P138" i="20"/>
  <c r="R138" i="20" s="1"/>
  <c r="G111" i="20"/>
  <c r="G92" i="20"/>
  <c r="M50" i="20"/>
  <c r="G91" i="20"/>
  <c r="G10" i="20"/>
  <c r="P15" i="20"/>
  <c r="R15" i="20" s="1"/>
  <c r="P43" i="20"/>
  <c r="G73" i="20"/>
  <c r="P94" i="20"/>
  <c r="P115" i="20"/>
  <c r="R115" i="20" s="1"/>
  <c r="P131" i="20"/>
  <c r="R131" i="20" s="1"/>
  <c r="P135" i="20"/>
  <c r="R135" i="20" s="1"/>
  <c r="G139" i="20"/>
  <c r="G178" i="20"/>
  <c r="G179" i="20"/>
  <c r="P184" i="20"/>
  <c r="R184" i="20" s="1"/>
  <c r="P196" i="20"/>
  <c r="R196" i="20" s="1"/>
  <c r="G235" i="20"/>
  <c r="M47" i="20"/>
  <c r="G47" i="20"/>
  <c r="M107" i="20"/>
  <c r="P107" i="20"/>
  <c r="R107" i="20" s="1"/>
  <c r="M103" i="20"/>
  <c r="P103" i="20"/>
  <c r="M116" i="20"/>
  <c r="G116" i="20"/>
  <c r="P116" i="20"/>
  <c r="M222" i="20"/>
  <c r="G222" i="20"/>
  <c r="P222" i="20"/>
  <c r="R222" i="20" s="1"/>
  <c r="P205" i="20"/>
  <c r="M155" i="20"/>
  <c r="G95" i="20"/>
  <c r="G148" i="20"/>
  <c r="G136" i="20"/>
  <c r="G8" i="20"/>
  <c r="P47" i="20"/>
  <c r="P48" i="20"/>
  <c r="R48" i="20" s="1"/>
  <c r="M123" i="20"/>
  <c r="G133" i="20"/>
  <c r="P155" i="20"/>
  <c r="R155" i="20" s="1"/>
  <c r="G172" i="20"/>
  <c r="P173" i="20"/>
  <c r="P183" i="20"/>
  <c r="R183" i="20" s="1"/>
  <c r="G230" i="20"/>
  <c r="P230" i="20"/>
  <c r="R230" i="20" s="1"/>
  <c r="G142" i="20"/>
  <c r="P59" i="20"/>
  <c r="R59" i="20" s="1"/>
  <c r="P142" i="20"/>
  <c r="R142" i="20" s="1"/>
  <c r="P165" i="20"/>
  <c r="R165" i="20" s="1"/>
  <c r="G211" i="20"/>
  <c r="P243" i="20"/>
  <c r="G232" i="20"/>
  <c r="G151" i="20"/>
  <c r="G105" i="20"/>
  <c r="P24" i="20"/>
  <c r="R24" i="20" s="1"/>
  <c r="G77" i="20"/>
  <c r="G51" i="20"/>
  <c r="P21" i="20"/>
  <c r="R21" i="20" s="1"/>
  <c r="G69" i="20"/>
  <c r="G123" i="20"/>
  <c r="G127" i="20"/>
  <c r="P148" i="20"/>
  <c r="R148" i="20" s="1"/>
  <c r="P224" i="20"/>
  <c r="R224" i="20" s="1"/>
  <c r="G210" i="20"/>
  <c r="G221" i="20"/>
  <c r="G215" i="20"/>
  <c r="P111" i="20"/>
  <c r="R111" i="20" s="1"/>
  <c r="P91" i="20"/>
  <c r="G182" i="20"/>
  <c r="P154" i="20"/>
  <c r="G89" i="20"/>
  <c r="G228" i="20"/>
  <c r="G197" i="20"/>
  <c r="P171" i="20"/>
  <c r="R171" i="20" s="1"/>
  <c r="M161" i="20"/>
  <c r="M128" i="20"/>
  <c r="P202" i="20"/>
  <c r="R202" i="20" s="1"/>
  <c r="G188" i="20"/>
  <c r="M110" i="20"/>
  <c r="P105" i="20"/>
  <c r="R105" i="20" s="1"/>
  <c r="G58" i="20"/>
  <c r="G97" i="20"/>
  <c r="P23" i="20"/>
  <c r="R23" i="20" s="1"/>
  <c r="P26" i="20"/>
  <c r="R26" i="20" s="1"/>
  <c r="P42" i="20"/>
  <c r="G50" i="20"/>
  <c r="G63" i="20"/>
  <c r="G72" i="20"/>
  <c r="G113" i="20"/>
  <c r="P118" i="20"/>
  <c r="R118" i="20" s="1"/>
  <c r="G124" i="20"/>
  <c r="G191" i="20"/>
  <c r="P85" i="20"/>
  <c r="R85" i="20" s="1"/>
  <c r="G118" i="20"/>
  <c r="M129" i="20"/>
  <c r="G129" i="20"/>
  <c r="G130" i="20"/>
  <c r="P144" i="20"/>
  <c r="R144" i="20" s="1"/>
  <c r="G156" i="20"/>
  <c r="P156" i="20"/>
  <c r="R156" i="20" s="1"/>
  <c r="P207" i="20"/>
  <c r="R207" i="20" s="1"/>
  <c r="G171" i="20"/>
  <c r="P210" i="20"/>
  <c r="R210" i="20" s="1"/>
  <c r="P236" i="20"/>
  <c r="P194" i="20"/>
  <c r="R194" i="20" s="1"/>
  <c r="G239" i="20"/>
  <c r="P244" i="20"/>
  <c r="G236" i="20"/>
  <c r="P212" i="20"/>
  <c r="R212" i="20" s="1"/>
  <c r="G103" i="20"/>
  <c r="G203" i="20"/>
  <c r="P185" i="20"/>
  <c r="R185" i="20" s="1"/>
  <c r="P242" i="20"/>
  <c r="P124" i="20"/>
  <c r="R124" i="20" s="1"/>
  <c r="M118" i="20"/>
  <c r="P71" i="20"/>
  <c r="R71" i="20" s="1"/>
  <c r="G85" i="20"/>
  <c r="G26" i="20"/>
  <c r="G46" i="20"/>
  <c r="M70" i="20"/>
  <c r="G70" i="20"/>
  <c r="M119" i="20"/>
  <c r="P119" i="20"/>
  <c r="R119" i="20" s="1"/>
  <c r="G119" i="20"/>
  <c r="M134" i="20"/>
  <c r="G134" i="20"/>
  <c r="G137" i="20"/>
  <c r="P151" i="20"/>
  <c r="M160" i="20"/>
  <c r="P160" i="20"/>
  <c r="R160" i="20" s="1"/>
  <c r="P214" i="20"/>
  <c r="R214" i="20" s="1"/>
  <c r="M14" i="20"/>
  <c r="G14" i="20"/>
  <c r="P46" i="20"/>
  <c r="R46" i="20" s="1"/>
  <c r="M46" i="20"/>
  <c r="P52" i="20"/>
  <c r="R52" i="20" s="1"/>
  <c r="M52" i="20"/>
  <c r="M54" i="20"/>
  <c r="P54" i="20"/>
  <c r="R54" i="20" s="1"/>
  <c r="M67" i="20"/>
  <c r="G67" i="20"/>
  <c r="P67" i="20"/>
  <c r="R67" i="20" s="1"/>
  <c r="P72" i="20"/>
  <c r="R72" i="20" s="1"/>
  <c r="M72" i="20"/>
  <c r="G78" i="20"/>
  <c r="P78" i="20"/>
  <c r="M78" i="20"/>
  <c r="G104" i="20"/>
  <c r="M104" i="20"/>
  <c r="G144" i="20"/>
  <c r="M144" i="20"/>
  <c r="P195" i="20"/>
  <c r="R195" i="20" s="1"/>
  <c r="M195" i="20"/>
  <c r="M239" i="20"/>
  <c r="M244" i="20"/>
  <c r="P241" i="20"/>
  <c r="G242" i="20"/>
  <c r="P49" i="20"/>
  <c r="R49" i="20" s="1"/>
  <c r="P57" i="20"/>
  <c r="R57" i="20" s="1"/>
  <c r="G59" i="20"/>
  <c r="P197" i="20"/>
  <c r="M243" i="20"/>
  <c r="G201" i="20"/>
  <c r="M240" i="20"/>
  <c r="G194" i="20"/>
  <c r="P203" i="20"/>
  <c r="R203" i="20" s="1"/>
  <c r="P129" i="20"/>
  <c r="R129" i="20" s="1"/>
  <c r="G175" i="20"/>
  <c r="G20" i="20"/>
  <c r="M20" i="20"/>
  <c r="M40" i="20"/>
  <c r="G40" i="20"/>
  <c r="M96" i="20"/>
  <c r="P96" i="20"/>
  <c r="G96" i="20"/>
  <c r="G109" i="20"/>
  <c r="M109" i="20"/>
  <c r="M157" i="20"/>
  <c r="P157" i="20"/>
  <c r="R157" i="20" s="1"/>
  <c r="G159" i="20"/>
  <c r="G180" i="20"/>
  <c r="P180" i="20"/>
  <c r="R180" i="20" s="1"/>
  <c r="P189" i="20"/>
  <c r="G190" i="20"/>
  <c r="P190" i="20"/>
  <c r="G32" i="20"/>
  <c r="P38" i="20"/>
  <c r="M43" i="20"/>
  <c r="P75" i="20"/>
  <c r="R75" i="20" s="1"/>
  <c r="P139" i="20"/>
  <c r="R139" i="20" s="1"/>
  <c r="G146" i="20"/>
  <c r="G184" i="20"/>
  <c r="P192" i="20"/>
  <c r="G207" i="20"/>
  <c r="P216" i="20"/>
  <c r="R216" i="20" s="1"/>
  <c r="P56" i="20"/>
  <c r="R56" i="20" s="1"/>
  <c r="P58" i="20"/>
  <c r="R58" i="20" s="1"/>
  <c r="P65" i="20"/>
  <c r="R65" i="20" s="1"/>
  <c r="P66" i="20"/>
  <c r="R66" i="20" s="1"/>
  <c r="G71" i="20"/>
  <c r="P81" i="20"/>
  <c r="R81" i="20" s="1"/>
  <c r="P146" i="20"/>
  <c r="M178" i="20"/>
  <c r="G183" i="20"/>
  <c r="G231" i="20"/>
  <c r="P10" i="20"/>
  <c r="P14" i="20"/>
  <c r="R14" i="20" s="1"/>
  <c r="G15" i="20"/>
  <c r="G54" i="20"/>
  <c r="G55" i="20"/>
  <c r="M56" i="20"/>
  <c r="P152" i="20"/>
  <c r="P177" i="20"/>
  <c r="M183" i="20"/>
  <c r="P199" i="20"/>
  <c r="R199" i="20" s="1"/>
  <c r="M12" i="20"/>
  <c r="G12" i="20"/>
  <c r="M44" i="20"/>
  <c r="P44" i="20"/>
  <c r="R44" i="20" s="1"/>
  <c r="P61" i="20"/>
  <c r="R61" i="20" s="1"/>
  <c r="G61" i="20"/>
  <c r="M90" i="20"/>
  <c r="P90" i="20"/>
  <c r="R90" i="20" s="1"/>
  <c r="G108" i="20"/>
  <c r="P108" i="20"/>
  <c r="R108" i="20" s="1"/>
  <c r="M108" i="20"/>
  <c r="P206" i="20"/>
  <c r="P97" i="20"/>
  <c r="P29" i="20"/>
  <c r="R29" i="20" s="1"/>
  <c r="G87" i="20"/>
  <c r="G90" i="20"/>
  <c r="G107" i="20"/>
  <c r="G75" i="20"/>
  <c r="P11" i="20"/>
  <c r="P12" i="20"/>
  <c r="R12" i="20" s="1"/>
  <c r="M22" i="20"/>
  <c r="G22" i="20"/>
  <c r="G25" i="20"/>
  <c r="P28" i="20"/>
  <c r="R28" i="20" s="1"/>
  <c r="M35" i="20"/>
  <c r="G35" i="20"/>
  <c r="M60" i="20"/>
  <c r="G60" i="20"/>
  <c r="M61" i="20"/>
  <c r="M62" i="20"/>
  <c r="P62" i="20"/>
  <c r="R62" i="20" s="1"/>
  <c r="G80" i="20"/>
  <c r="P80" i="20"/>
  <c r="M84" i="20"/>
  <c r="P84" i="20"/>
  <c r="R84" i="20" s="1"/>
  <c r="G86" i="20"/>
  <c r="M86" i="20"/>
  <c r="M106" i="20"/>
  <c r="P106" i="20"/>
  <c r="R106" i="20" s="1"/>
  <c r="G106" i="20"/>
  <c r="P168" i="20"/>
  <c r="R168" i="20" s="1"/>
  <c r="G168" i="20"/>
  <c r="G170" i="20"/>
  <c r="P170" i="20"/>
  <c r="R170" i="20" s="1"/>
  <c r="M170" i="20"/>
  <c r="P45" i="20"/>
  <c r="G45" i="20"/>
  <c r="P93" i="20"/>
  <c r="P233" i="20"/>
  <c r="R233" i="20" s="1"/>
  <c r="P225" i="20"/>
  <c r="R225" i="20" s="1"/>
  <c r="P191" i="20"/>
  <c r="M45" i="20"/>
  <c r="G9" i="20"/>
  <c r="G17" i="20"/>
  <c r="P17" i="20"/>
  <c r="M19" i="20"/>
  <c r="G19" i="20"/>
  <c r="G27" i="20"/>
  <c r="M34" i="20"/>
  <c r="G34" i="20"/>
  <c r="P34" i="20"/>
  <c r="M37" i="20"/>
  <c r="G37" i="20"/>
  <c r="G65" i="20"/>
  <c r="G74" i="20"/>
  <c r="P74" i="20"/>
  <c r="R74" i="20" s="1"/>
  <c r="M115" i="20"/>
  <c r="G115" i="20"/>
  <c r="P150" i="20"/>
  <c r="G150" i="20"/>
  <c r="M153" i="20"/>
  <c r="P153" i="20"/>
  <c r="R153" i="20" s="1"/>
  <c r="G153" i="20"/>
  <c r="G18" i="20"/>
  <c r="M18" i="20"/>
  <c r="P18" i="20"/>
  <c r="M23" i="20"/>
  <c r="G23" i="20"/>
  <c r="M28" i="20"/>
  <c r="G28" i="20"/>
  <c r="M30" i="20"/>
  <c r="P30" i="20"/>
  <c r="R30" i="20" s="1"/>
  <c r="G39" i="20"/>
  <c r="P39" i="20"/>
  <c r="M39" i="20"/>
  <c r="P87" i="20"/>
  <c r="R87" i="20" s="1"/>
  <c r="P31" i="20"/>
  <c r="R31" i="20" s="1"/>
  <c r="M225" i="20"/>
  <c r="G31" i="20"/>
  <c r="P25" i="20"/>
  <c r="R25" i="20" s="1"/>
  <c r="P8" i="20"/>
  <c r="G13" i="20"/>
  <c r="P16" i="20"/>
  <c r="G53" i="20"/>
  <c r="P53" i="20"/>
  <c r="R53" i="20" s="1"/>
  <c r="M63" i="20"/>
  <c r="P63" i="20"/>
  <c r="R63" i="20" s="1"/>
  <c r="G64" i="20"/>
  <c r="M64" i="20"/>
  <c r="P68" i="20"/>
  <c r="R68" i="20" s="1"/>
  <c r="G68" i="20"/>
  <c r="M68" i="20"/>
  <c r="P73" i="20"/>
  <c r="R73" i="20" s="1"/>
  <c r="M73" i="20"/>
  <c r="M94" i="20"/>
  <c r="G94" i="20"/>
  <c r="P99" i="20"/>
  <c r="G99" i="20"/>
  <c r="P163" i="20"/>
  <c r="G163" i="20"/>
  <c r="P20" i="20"/>
  <c r="R20" i="20" s="1"/>
  <c r="G30" i="20"/>
  <c r="P33" i="20"/>
  <c r="G33" i="20"/>
  <c r="P82" i="20"/>
  <c r="R82" i="20" s="1"/>
  <c r="G114" i="20"/>
  <c r="P114" i="20"/>
  <c r="R114" i="20" s="1"/>
  <c r="G117" i="20"/>
  <c r="P141" i="20"/>
  <c r="R141" i="20" s="1"/>
  <c r="G141" i="20"/>
  <c r="G143" i="20"/>
  <c r="P143" i="20"/>
  <c r="R143" i="20" s="1"/>
  <c r="M143" i="20"/>
  <c r="M166" i="20"/>
  <c r="G166" i="20"/>
  <c r="P166" i="20"/>
  <c r="R166" i="20" s="1"/>
  <c r="M220" i="20"/>
  <c r="G220" i="20"/>
  <c r="P223" i="20"/>
  <c r="R223" i="20" s="1"/>
  <c r="G223" i="20"/>
  <c r="G21" i="20"/>
  <c r="P37" i="20"/>
  <c r="R37" i="20" s="1"/>
  <c r="P98" i="20"/>
  <c r="G98" i="20"/>
  <c r="M98" i="20"/>
  <c r="M100" i="20"/>
  <c r="P100" i="20"/>
  <c r="G100" i="20"/>
  <c r="G101" i="20"/>
  <c r="M101" i="20"/>
  <c r="P101" i="20"/>
  <c r="R101" i="20" s="1"/>
  <c r="P102" i="20"/>
  <c r="R102" i="20" s="1"/>
  <c r="G102" i="20"/>
  <c r="M112" i="20"/>
  <c r="G147" i="20"/>
  <c r="M147" i="20"/>
  <c r="P147" i="20"/>
  <c r="R147" i="20" s="1"/>
  <c r="G173" i="20"/>
  <c r="G43" i="20"/>
  <c r="G82" i="20"/>
  <c r="P112" i="20"/>
  <c r="R112" i="20" s="1"/>
  <c r="P127" i="20"/>
  <c r="P134" i="20"/>
  <c r="R134" i="20" s="1"/>
  <c r="M145" i="20"/>
  <c r="P145" i="20"/>
  <c r="R145" i="20" s="1"/>
  <c r="P178" i="20"/>
  <c r="R178" i="20" s="1"/>
  <c r="P179" i="20"/>
  <c r="R179" i="20" s="1"/>
  <c r="G187" i="20"/>
  <c r="P187" i="20"/>
  <c r="P213" i="20"/>
  <c r="R213" i="20" s="1"/>
  <c r="P234" i="20"/>
  <c r="R234" i="20" s="1"/>
  <c r="G234" i="20"/>
  <c r="P133" i="20"/>
  <c r="P136" i="20"/>
  <c r="R136" i="20" s="1"/>
  <c r="G162" i="20"/>
  <c r="P162" i="20"/>
  <c r="R162" i="20" s="1"/>
  <c r="G164" i="20"/>
  <c r="P164" i="20"/>
  <c r="R164" i="20" s="1"/>
  <c r="M164" i="20"/>
  <c r="G192" i="20"/>
  <c r="P193" i="20"/>
  <c r="R193" i="20" s="1"/>
  <c r="G238" i="20"/>
  <c r="P238" i="20"/>
  <c r="G36" i="20" l="1"/>
  <c r="G245" i="20" s="1"/>
  <c r="P36" i="20"/>
  <c r="R8" i="20"/>
</calcChain>
</file>

<file path=xl/sharedStrings.xml><?xml version="1.0" encoding="utf-8"?>
<sst xmlns="http://schemas.openxmlformats.org/spreadsheetml/2006/main" count="1668" uniqueCount="576">
  <si>
    <t>ALM-AGU-001</t>
  </si>
  <si>
    <t>ALM-AGBT-001</t>
  </si>
  <si>
    <t>ALM-ARC-001</t>
  </si>
  <si>
    <t>ARCHIVO ACORDEON PENDAFLEX 8 1/2*11</t>
  </si>
  <si>
    <t>ALM-BOR-001</t>
  </si>
  <si>
    <t>ALM-CBT-001</t>
  </si>
  <si>
    <t xml:space="preserve">CABLE TIES ( TAYRA ) </t>
  </si>
  <si>
    <t>CAJA DE CARTON PARA ARCHIVO MUERTO 8 1/2*11</t>
  </si>
  <si>
    <t>ALM-CAR-001</t>
  </si>
  <si>
    <t>CARATULAS DE CD</t>
  </si>
  <si>
    <t>ALM-CAR-003</t>
  </si>
  <si>
    <t>ALM-CAR-004</t>
  </si>
  <si>
    <t>ALM-CAR-006</t>
  </si>
  <si>
    <t>CARPETAS NUSTAR 4 " BLANCA</t>
  </si>
  <si>
    <t>CARTUCHO DE MINA PUNTO 7</t>
  </si>
  <si>
    <t>ALM-CD-001</t>
  </si>
  <si>
    <t>CD-MAXELL CON CARATULA</t>
  </si>
  <si>
    <t>ALM-CER-001</t>
  </si>
  <si>
    <t>CERA PARA CONTAR</t>
  </si>
  <si>
    <t>CERRADURAS C-LLAVE</t>
  </si>
  <si>
    <t>CERRADURAS S-LLAVE</t>
  </si>
  <si>
    <t>ALM-CLI-003</t>
  </si>
  <si>
    <t>CLIPS BILLETEROS ARTESCO (25 MM)</t>
  </si>
  <si>
    <t>ALM-CLI-002</t>
  </si>
  <si>
    <t>CLIPS BILLETEROS ARTESCO (41 MM)</t>
  </si>
  <si>
    <t>ALM-CLI-001</t>
  </si>
  <si>
    <t>CLIPS BILLETEROS ARTESCO (51 MM)</t>
  </si>
  <si>
    <t>ALM-CLI-004</t>
  </si>
  <si>
    <t>CLIPS GRANDE VELMER</t>
  </si>
  <si>
    <t>ALM-CLI-005</t>
  </si>
  <si>
    <t>CLIPS PEQUEÑO VELMER</t>
  </si>
  <si>
    <t>ALM-CONT-002</t>
  </si>
  <si>
    <t xml:space="preserve">CONTROL PROYECTOR </t>
  </si>
  <si>
    <t>ALM-DVD-001</t>
  </si>
  <si>
    <t>DVD CON CARATULA</t>
  </si>
  <si>
    <t>ALM-ESP-001</t>
  </si>
  <si>
    <t>ALM-ESP-002</t>
  </si>
  <si>
    <t xml:space="preserve">FELPA AZUL </t>
  </si>
  <si>
    <t>ALM-FEL-002</t>
  </si>
  <si>
    <t>FELPA NEGRA UNI-BALL</t>
  </si>
  <si>
    <t>ALM-FEL-003</t>
  </si>
  <si>
    <t>FELPA ROJA</t>
  </si>
  <si>
    <t>ALM-FOL-001</t>
  </si>
  <si>
    <t>FOLDER MANILA PLUS 8 1/2*11</t>
  </si>
  <si>
    <t>ALM-FOL-002</t>
  </si>
  <si>
    <t>FOLDER MANILA PLUS 8 1/2*13</t>
  </si>
  <si>
    <t>ALM-FOL-003</t>
  </si>
  <si>
    <t>FOLDER MANILA PLUS 8 1/2*14</t>
  </si>
  <si>
    <t>ALM-FOL-004</t>
  </si>
  <si>
    <t>FOLDER PARTITION (2 DIVISIONES)</t>
  </si>
  <si>
    <t>ALM-FOL-005</t>
  </si>
  <si>
    <t>FOLDERS COLORES SURTIDOS (125/1)</t>
  </si>
  <si>
    <t>ALM-GAN-001</t>
  </si>
  <si>
    <t>GANCHOS PARA FOLDER VELMER</t>
  </si>
  <si>
    <t>ALM-GRA-001</t>
  </si>
  <si>
    <t>GRAPAS 3/8 ARTESCO (1000/1)</t>
  </si>
  <si>
    <t>ALM-GRA-002</t>
  </si>
  <si>
    <t>GRAPAS ESTANDAR VELMER (5000/1)</t>
  </si>
  <si>
    <t>ALM-GCF-002</t>
  </si>
  <si>
    <t>GRECA 1 TAZA</t>
  </si>
  <si>
    <t>ALM-GCF-001</t>
  </si>
  <si>
    <t>GRECA 24 TAZA</t>
  </si>
  <si>
    <t>ALM-GULL-002</t>
  </si>
  <si>
    <t>GUILLOTINA</t>
  </si>
  <si>
    <t>HIELERA</t>
  </si>
  <si>
    <t>ALM-HOR-002</t>
  </si>
  <si>
    <t>HORNILLA INDUSTRIAL</t>
  </si>
  <si>
    <t>ALM-LAB-003</t>
  </si>
  <si>
    <t>LABELS PARA CD</t>
  </si>
  <si>
    <t>ALM-LAB-004</t>
  </si>
  <si>
    <t>LABELS PARA FOLDER</t>
  </si>
  <si>
    <t>ALM-LAP-001</t>
  </si>
  <si>
    <t>LAPICERO AZUL</t>
  </si>
  <si>
    <t>ALM-LAP-002</t>
  </si>
  <si>
    <t>LAPICERO NEGRO</t>
  </si>
  <si>
    <t>ALM-LAP-003</t>
  </si>
  <si>
    <t>LAPICERO ROJO</t>
  </si>
  <si>
    <t>ALM-LAP-004</t>
  </si>
  <si>
    <t>LAPIZ DE CARBON</t>
  </si>
  <si>
    <t>ALM-LIB-001</t>
  </si>
  <si>
    <t>LIBRETA ARTESCO AMARILLA (8.5*11)</t>
  </si>
  <si>
    <t>ALM-LIB-002</t>
  </si>
  <si>
    <t>LIBRETA LEGAL PAD AMARILLA (5*8)</t>
  </si>
  <si>
    <t>ALM-MAR-001</t>
  </si>
  <si>
    <t>MARCADOR DE PIZARRA AZUL</t>
  </si>
  <si>
    <t>ALM-MAR-003</t>
  </si>
  <si>
    <t>MARCADOR DE PIZZARRA NEGRO</t>
  </si>
  <si>
    <t>ALM-MAR-004</t>
  </si>
  <si>
    <t>MARCADOR DE PIZZARRA VERDE</t>
  </si>
  <si>
    <t>MARCADOR PERMANENTE NEGRO</t>
  </si>
  <si>
    <t>ALM-PAP-001</t>
  </si>
  <si>
    <t>PAPEL  DE HILO</t>
  </si>
  <si>
    <t>ALM-PAB-003</t>
  </si>
  <si>
    <t>ALM-PEN-002</t>
  </si>
  <si>
    <t>ALM-PEN-001</t>
  </si>
  <si>
    <t xml:space="preserve">PENDAFLEX 8 1/2X11 </t>
  </si>
  <si>
    <t>PENETRANTE WD40</t>
  </si>
  <si>
    <t>ALM-PER-001</t>
  </si>
  <si>
    <t>PERFORADORA DE 2 HOYOS</t>
  </si>
  <si>
    <t>ALM-POT/R-001</t>
  </si>
  <si>
    <t>PORTA REVISTA</t>
  </si>
  <si>
    <t>ALM-POTTP-001</t>
  </si>
  <si>
    <t>PORTA TAPE</t>
  </si>
  <si>
    <t>ALM-POTENC-001</t>
  </si>
  <si>
    <t>PORTADAS DE ENCUADERNAR</t>
  </si>
  <si>
    <t>ALM-POS-004</t>
  </si>
  <si>
    <t>POST-IT DE FIRMA STICK IN (125/1)</t>
  </si>
  <si>
    <t>ALM-POS-003</t>
  </si>
  <si>
    <t>POST-IT DE FIRMA STICK IN (50/1)</t>
  </si>
  <si>
    <t>ALM-POS-001</t>
  </si>
  <si>
    <t>POST-IT NEON 2/*2 MEMO TIP (8/1)</t>
  </si>
  <si>
    <t>ALM-POS-002</t>
  </si>
  <si>
    <t>ALM-PRO-001</t>
  </si>
  <si>
    <t>ALM-PUN-001</t>
  </si>
  <si>
    <t>PUNTERO LASER (KLIPXTREME, PRESENTADOR WIRELES)</t>
  </si>
  <si>
    <t>ALM-REG-001</t>
  </si>
  <si>
    <t>REGLA ESCALA POINTER</t>
  </si>
  <si>
    <t>ALM-REG-002</t>
  </si>
  <si>
    <t>ALM-RES-001</t>
  </si>
  <si>
    <t>ALM-REG-003</t>
  </si>
  <si>
    <t>RESALTADOR AZUL</t>
  </si>
  <si>
    <t>ALM-RES-004</t>
  </si>
  <si>
    <t>ALM-RES-005</t>
  </si>
  <si>
    <t>RESALTADOR ROSADO</t>
  </si>
  <si>
    <t>ALM-SAP-001</t>
  </si>
  <si>
    <t>SACAPUNTAS</t>
  </si>
  <si>
    <t>ALM-SEP-001</t>
  </si>
  <si>
    <t>SET HERRAMIENTAS VARIAS</t>
  </si>
  <si>
    <t>ALM-SOB-001</t>
  </si>
  <si>
    <t>SOBRE MANILLA 10 X 15</t>
  </si>
  <si>
    <t>SOBRE MANILLA 10X 13</t>
  </si>
  <si>
    <t>ALM-SOB-002</t>
  </si>
  <si>
    <t>SOBRE MANILLA 6X9</t>
  </si>
  <si>
    <t>ALM-TAB-002</t>
  </si>
  <si>
    <t>TABLILLA PARA HOJA 8 1/2 X11</t>
  </si>
  <si>
    <t>ALM-TAP-001</t>
  </si>
  <si>
    <t xml:space="preserve">TAPE </t>
  </si>
  <si>
    <t>ALM-TJE-01</t>
  </si>
  <si>
    <t>TARJETERO DE ESCRITORIO</t>
  </si>
  <si>
    <t>TARJETEROS TIPO LIBRO</t>
  </si>
  <si>
    <t>TINTA PARA SELLOS</t>
  </si>
  <si>
    <t>ALM-TONN-002</t>
  </si>
  <si>
    <t xml:space="preserve">TONER CF401A </t>
  </si>
  <si>
    <t>ALM-TONC-001</t>
  </si>
  <si>
    <t>TONER CF500 A NEGRO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</si>
  <si>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</si>
  <si>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</si>
  <si>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</si>
  <si>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</si>
  <si>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</si>
  <si>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</si>
  <si>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</si>
  <si>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</si>
  <si>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ALM-THP-002</t>
  </si>
  <si>
    <t>ALM-THP-003</t>
  </si>
  <si>
    <t>ALM-UNH-001</t>
  </si>
  <si>
    <t>UHU LIQUIDO</t>
  </si>
  <si>
    <t xml:space="preserve">PRECIO </t>
  </si>
  <si>
    <t xml:space="preserve">Salida </t>
  </si>
  <si>
    <t xml:space="preserve">Cantidad Actual </t>
  </si>
  <si>
    <t xml:space="preserve">Inventario Actual </t>
  </si>
  <si>
    <t>DESCRIPCIÓN</t>
  </si>
  <si>
    <t>MEDIDA</t>
  </si>
  <si>
    <t>CANTIDAD</t>
  </si>
  <si>
    <t>UNITARIO</t>
  </si>
  <si>
    <t>ITBIS 18%</t>
  </si>
  <si>
    <t>CON ITBIS</t>
  </si>
  <si>
    <t>TOTAL</t>
  </si>
  <si>
    <t>FACTURA</t>
  </si>
  <si>
    <t>UNIDAD</t>
  </si>
  <si>
    <t>GL</t>
  </si>
  <si>
    <t>ALM-BAN-001</t>
  </si>
  <si>
    <t>BANDEJA DE METAL PARA ESCRITORIO (2/1)</t>
  </si>
  <si>
    <t>PAQUETE 100/1</t>
  </si>
  <si>
    <t>B1500000007</t>
  </si>
  <si>
    <t>CARPETA NUSTAR 1" BLANCA</t>
  </si>
  <si>
    <t>ALM-CAR-005</t>
  </si>
  <si>
    <t>CARPETAS NUSTAR 3" BLANCA</t>
  </si>
  <si>
    <t>CAJA 50/1</t>
  </si>
  <si>
    <t>ALM-CIN-001</t>
  </si>
  <si>
    <t>CINTA TRANSPARENTE HIGHLAND (3/4)</t>
  </si>
  <si>
    <t>CAJA</t>
  </si>
  <si>
    <t>ALM-COR-001</t>
  </si>
  <si>
    <t>ALM-DIS-001</t>
  </si>
  <si>
    <t>DISPENSADOR DE CINTAS 3/4 (NEGRO)</t>
  </si>
  <si>
    <t>100/1</t>
  </si>
  <si>
    <t>CAJA 125/1</t>
  </si>
  <si>
    <t>ALM-GOM-001</t>
  </si>
  <si>
    <t>GOMITAS</t>
  </si>
  <si>
    <t>ALM-GRAP-001</t>
  </si>
  <si>
    <t>GRAPADORA SWINGLE 444</t>
  </si>
  <si>
    <t>PAQUETE</t>
  </si>
  <si>
    <t>ALM-MAR-002</t>
  </si>
  <si>
    <t>MARCADOR DE PIZARRA ROJO</t>
  </si>
  <si>
    <t>MARCADOR PERMANENTE AZUL</t>
  </si>
  <si>
    <t>MARCADOR SHARPIE (MIXTOS)</t>
  </si>
  <si>
    <t>MARCADOR SHARPIE PUNTA FINA</t>
  </si>
  <si>
    <t>ALM-MEM-001</t>
  </si>
  <si>
    <t>MEMORIA USB KINGSTONG (64GB)</t>
  </si>
  <si>
    <t>RESMA</t>
  </si>
  <si>
    <t>CAJA 25/1</t>
  </si>
  <si>
    <t>RESALTADOR AMARILLO</t>
  </si>
  <si>
    <t xml:space="preserve">SEPARADORES DE CARPETA </t>
  </si>
  <si>
    <t>PAQUETE 5/1</t>
  </si>
  <si>
    <t>JUEGO</t>
  </si>
  <si>
    <t>ALM-TEN-001</t>
  </si>
  <si>
    <t xml:space="preserve">TENEDORES PLASTICOS </t>
  </si>
  <si>
    <t>TIJERA</t>
  </si>
  <si>
    <t>ALM-TENS-001</t>
  </si>
  <si>
    <t>TINTA PARA SUMADORA</t>
  </si>
  <si>
    <t>B1500000003</t>
  </si>
  <si>
    <t>ALM-MAS-001</t>
  </si>
  <si>
    <t>ALM-CIN-002</t>
  </si>
  <si>
    <t>CINTA TRANSPARENTE FROZEN</t>
  </si>
  <si>
    <t>ALM-TIJ-001</t>
  </si>
  <si>
    <t>ALM-HOJA-001</t>
  </si>
  <si>
    <t>HOJAS DE FOAMI 8 1/2* 11</t>
  </si>
  <si>
    <t>ALM-TIN-001</t>
  </si>
  <si>
    <t>CAJA 100/1</t>
  </si>
  <si>
    <t>ALM-MAR-005</t>
  </si>
  <si>
    <t>MARCADOR PERMANENTE ROJO</t>
  </si>
  <si>
    <t>MARCADOR SHARPIE AZUL</t>
  </si>
  <si>
    <t>ALM-POT-C-001</t>
  </si>
  <si>
    <t>PORTA CLIPS</t>
  </si>
  <si>
    <t>ALM-LIB-R-001</t>
  </si>
  <si>
    <t>LIBROS RECORD</t>
  </si>
  <si>
    <t xml:space="preserve">UNIDAD </t>
  </si>
  <si>
    <t>POST-IT NEON  (3*2)</t>
  </si>
  <si>
    <t>PROTECTORES DE HOJA (100/1)</t>
  </si>
  <si>
    <t>REGLA PLASTICA  (30CM)</t>
  </si>
  <si>
    <t>PUNTERO LASER / WIRELESS</t>
  </si>
  <si>
    <t>ALM-CIN-003</t>
  </si>
  <si>
    <t>CINTA TRANSPARENTE 3/4</t>
  </si>
  <si>
    <t>ALM-MEM-002</t>
  </si>
  <si>
    <t>MEMORIA USB KINGSTONG (32GB)</t>
  </si>
  <si>
    <t>REGLA PLASTICA  (1M)</t>
  </si>
  <si>
    <t xml:space="preserve">BANDEJA DE METAL PARA ESCRITORIO </t>
  </si>
  <si>
    <t>ALM-POT/L-001</t>
  </si>
  <si>
    <t>PORTA LÁPIZ METAL CUADRADO</t>
  </si>
  <si>
    <t>ALM-GRAP-003</t>
  </si>
  <si>
    <t>ALM-TTL-002</t>
  </si>
  <si>
    <t>FECHA  REG.</t>
  </si>
  <si>
    <t>INSTITUTO GEOGRÁFICO NACIONAL JOSÉ JOAQUÌN HUNGRÌA MORELL</t>
  </si>
  <si>
    <t>CARPETA POINTER 1. 5" BLANCA</t>
  </si>
  <si>
    <t>CARPETAS POINTER  2 " BLANCA</t>
  </si>
  <si>
    <t>POST-IT NEON 2/*2 MEMO TIP  (8/1)</t>
  </si>
  <si>
    <t>POST-IT  (3*3) (7/1)</t>
  </si>
  <si>
    <t>TONER CF410  A NEGRO</t>
  </si>
  <si>
    <t>TONER HP CE311A CYAN</t>
  </si>
  <si>
    <t>TONER HP CE312A YELLOW</t>
  </si>
  <si>
    <t>ALM-THP-004</t>
  </si>
  <si>
    <t>TONER HP CE313A MAGENTA</t>
  </si>
  <si>
    <t>FOLDERS INSTITUCIONALES</t>
  </si>
  <si>
    <t>ALM-FOL-006</t>
  </si>
  <si>
    <t>ALM-LEY-001</t>
  </si>
  <si>
    <t>LEY 208-14 5.5 *8.5  32 PÁGINAS</t>
  </si>
  <si>
    <t>B1500000188</t>
  </si>
  <si>
    <t>ALM-BRO-001</t>
  </si>
  <si>
    <t>BROCHURE IMPRESOS FULL COLOR</t>
  </si>
  <si>
    <t>B1500000005</t>
  </si>
  <si>
    <t>B1500000327</t>
  </si>
  <si>
    <t>FOLDERS COLORES SURTIDOS (100/1)</t>
  </si>
  <si>
    <t>CARPETAS  5 " BLANCA</t>
  </si>
  <si>
    <t>SACAPUNTAS ELECTRICOS</t>
  </si>
  <si>
    <t>ESPIRALES NORMALES (12MM ) (1/2)</t>
  </si>
  <si>
    <t>ESPIRALES NORMALES (16MM ) (5/8)</t>
  </si>
  <si>
    <t xml:space="preserve">POST-IT 2/8 * 17 BANDERITAS </t>
  </si>
  <si>
    <t xml:space="preserve">SEPARADORES PLASTICOS </t>
  </si>
  <si>
    <t>ALM-ENC-001</t>
  </si>
  <si>
    <t xml:space="preserve">ENCUADERNADORA ESPIRAL CONTINUO </t>
  </si>
  <si>
    <t>PAQUETE5/1</t>
  </si>
  <si>
    <t>B1500000158</t>
  </si>
  <si>
    <t>TAZA DE CAFÉ PORCELANA</t>
  </si>
  <si>
    <t>31/12/219</t>
  </si>
  <si>
    <t>ALM-TAZA-001</t>
  </si>
  <si>
    <t>ALM-TAZA-002</t>
  </si>
  <si>
    <t>ALM-HEL-001</t>
  </si>
  <si>
    <t>TAZA CAFÉ 130CL</t>
  </si>
  <si>
    <t>ALM-SET-003</t>
  </si>
  <si>
    <t>ALM-TUBO-001</t>
  </si>
  <si>
    <t>TUBO FLUORESCENTES LUZ BLANCA</t>
  </si>
  <si>
    <t>B1500000238</t>
  </si>
  <si>
    <t>ALM-CHALECO-001</t>
  </si>
  <si>
    <t>CHALECO REFLECTOR BOLSILLO NARANJA AMARILLO</t>
  </si>
  <si>
    <t>AGUA DE BATERIAS DESMINARILIZADA</t>
  </si>
  <si>
    <t>ALM-DIS-002</t>
  </si>
  <si>
    <t>ALM-CAJ/C-002</t>
  </si>
  <si>
    <t>ALM-CERRADURA-001</t>
  </si>
  <si>
    <t>ALM-CERRADURA-002</t>
  </si>
  <si>
    <t>ALM-CERRADURA-003</t>
  </si>
  <si>
    <t>CERRADURA DE PUERTA</t>
  </si>
  <si>
    <t>ALM-BAN-002</t>
  </si>
  <si>
    <t>ALM-ZAF-001</t>
  </si>
  <si>
    <t>ZAFACÓN CON TAPA</t>
  </si>
  <si>
    <t>INVENTARIO DE ALMACÉN</t>
  </si>
  <si>
    <t>Revisado Por:</t>
  </si>
  <si>
    <t xml:space="preserve">  Enc.  Administrativa Financiera </t>
  </si>
  <si>
    <t>VALORES EN RD $</t>
  </si>
  <si>
    <t>ALM-ALC-001</t>
  </si>
  <si>
    <t>B1500000010</t>
  </si>
  <si>
    <t>ALM-GUA-001</t>
  </si>
  <si>
    <t>GUANTES DESECHABLES LATEX (S,M,L)</t>
  </si>
  <si>
    <t>ALM-MASC-002</t>
  </si>
  <si>
    <t>MASCARILLA QUIRUGIRCAS</t>
  </si>
  <si>
    <t>B1500000013</t>
  </si>
  <si>
    <t>B1500000214</t>
  </si>
  <si>
    <t>DISPENSADOR DE GEL ANTIBACTERIAL AUTOMATICO</t>
  </si>
  <si>
    <t>DISPENSADOR DE JABÓN LIQUIDO AUTOMATICO</t>
  </si>
  <si>
    <t>ALM-PAT-001</t>
  </si>
  <si>
    <t>ALM-KIT-003</t>
  </si>
  <si>
    <t>KIT ALFOMBRA DESINFECTANTE</t>
  </si>
  <si>
    <t>ALM-JAB-003</t>
  </si>
  <si>
    <t>JABON DE CUABA</t>
  </si>
  <si>
    <t>B1500000291</t>
  </si>
  <si>
    <t>DESINFECTANTE EN SPRAY</t>
  </si>
  <si>
    <t>ALM-GEL-002</t>
  </si>
  <si>
    <t>GEL ANTIBACTERIAL</t>
  </si>
  <si>
    <t>B1500000053</t>
  </si>
  <si>
    <t>CÓDIGO</t>
  </si>
  <si>
    <t>CARPETAS NUSTAR 1.5" BLANCA</t>
  </si>
  <si>
    <t>CARPETAS NUSTAR 5 " BLANCA</t>
  </si>
  <si>
    <t>RESALTADOR VERDE</t>
  </si>
  <si>
    <t>FECHA ADQ.</t>
  </si>
  <si>
    <t>AGUA BOTELLONES (RECARGAS)</t>
  </si>
  <si>
    <t>15/12/2020</t>
  </si>
  <si>
    <t>22/12/2020</t>
  </si>
  <si>
    <t xml:space="preserve">ALM-SUA-001 </t>
  </si>
  <si>
    <t>ALM-SUA-002</t>
  </si>
  <si>
    <t>SUAPER NO.28</t>
  </si>
  <si>
    <t>SUAPER NO.32</t>
  </si>
  <si>
    <t>B1500000235</t>
  </si>
  <si>
    <t>ALM-ESC-001</t>
  </si>
  <si>
    <t>ESCOBA</t>
  </si>
  <si>
    <t>ALM-VASO-001</t>
  </si>
  <si>
    <t>VASO NO. 10 DESECHABLES</t>
  </si>
  <si>
    <t>ALM-FUNDA-001</t>
  </si>
  <si>
    <t>ALM-FUNDA-002</t>
  </si>
  <si>
    <t>ALM-FUNDA-003</t>
  </si>
  <si>
    <t>FUNDAS 13 GL/L FARDO 100/1 CALIBRE 180</t>
  </si>
  <si>
    <t>FUNDAS 5 GL/L FARDO 100/1 CALIBRE 181</t>
  </si>
  <si>
    <t>FUNDAS 55 GL/L FARDO 100/1 CALIBRE 182</t>
  </si>
  <si>
    <t>FARDO</t>
  </si>
  <si>
    <t>ALM-JAB-004</t>
  </si>
  <si>
    <t>JABÓN LIQUIDO DE MANOS</t>
  </si>
  <si>
    <t xml:space="preserve">ALM-SPRAY-001 </t>
  </si>
  <si>
    <t>DESINFECTANTE FABULOSO</t>
  </si>
  <si>
    <t>BANDEJA 14*9 ALUMINIO INOXIDABLE</t>
  </si>
  <si>
    <t>ALM-BAN-003</t>
  </si>
  <si>
    <t>BANDEJA 16*9 ALUMINIO INOXIDABLE</t>
  </si>
  <si>
    <t>BANDEJA 18*13 ALUMINIO INOXIDABLE</t>
  </si>
  <si>
    <t>ALM-LAV-001</t>
  </si>
  <si>
    <t>LAVAPLATOS LIQUIDO</t>
  </si>
  <si>
    <t>GALON</t>
  </si>
  <si>
    <t>ALM-LIMP-001</t>
  </si>
  <si>
    <t xml:space="preserve">LIMPIA CRISTALES </t>
  </si>
  <si>
    <t>ALM-AMB-001</t>
  </si>
  <si>
    <t>ALM-AMB-002</t>
  </si>
  <si>
    <t xml:space="preserve">AMBIENTADOR AUTOMATICO </t>
  </si>
  <si>
    <t>AMBIENTADOR MANUAL</t>
  </si>
  <si>
    <t>ALM-PAH-001</t>
  </si>
  <si>
    <t>PAPEL HIGIENICO 30/1</t>
  </si>
  <si>
    <t>PAPEL TOALLA FAMILIA 6/1</t>
  </si>
  <si>
    <t>ALCOHOL ISOPROPILICO 100%</t>
  </si>
  <si>
    <t>ALM-MASC-001</t>
  </si>
  <si>
    <t>ALM-DES- 001</t>
  </si>
  <si>
    <t>ALM-DES- 002</t>
  </si>
  <si>
    <t>DESINFECTANTE PARA AFOMBRAS</t>
  </si>
  <si>
    <t>PAPEL BOND 8 1/2 X 11 CAJA10/1</t>
  </si>
  <si>
    <t>B1500000127</t>
  </si>
  <si>
    <t>27/11/2020</t>
  </si>
  <si>
    <t>LAPICERO NEGRO CAJA 12/1</t>
  </si>
  <si>
    <t>FELPA AZUL ONYX CAJA 12/1</t>
  </si>
  <si>
    <t>ALM-LAP-0045</t>
  </si>
  <si>
    <t>LAPIZ DE CARBON POINTER CAJA 12/1</t>
  </si>
  <si>
    <t>RESALTADOR AMARILLO PUNTA ANCHA PELIKAN CAJA 10/1</t>
  </si>
  <si>
    <t>RESALTADOR AMARILLO PUNTA FINA PELIKAN CAJA 10/1</t>
  </si>
  <si>
    <t>RESALTADOR AZUL  PUNTA FINA PELIKAN CAJA 10/1</t>
  </si>
  <si>
    <t>RESALTADOR NARANJA PUNTA FINA PELIKAN CAJA 10/1</t>
  </si>
  <si>
    <t>RESALTADOR ROSADA PUNTA FINA PELIKAN CAJA 10/1</t>
  </si>
  <si>
    <t>ALM-SOB-003</t>
  </si>
  <si>
    <t>SOBRE MANILLA 10*13 CAJA 500/1</t>
  </si>
  <si>
    <t>SOBRE MANILLA 9*12 CAJA 500/1</t>
  </si>
  <si>
    <t>SOBRE MANILLA 6.5*9.5 CAJA 500/1</t>
  </si>
  <si>
    <t>BORRA DE LECHE PEQUEÑA</t>
  </si>
  <si>
    <t>FOLDER MANILA PLUS 8 1/2*11 100/1</t>
  </si>
  <si>
    <t>FOLDER MANILA PLUS 8 1/2*14   100/1</t>
  </si>
  <si>
    <t>CORRECTOR LIQUIDO TIPO LAPIZ POINTER</t>
  </si>
  <si>
    <t>POST-IT DE FIRMA STICK IN (5/1)</t>
  </si>
  <si>
    <t>CLIPS GRANDE 50MM 10/1</t>
  </si>
  <si>
    <t>CLIPS PEQUEÑO 33 MM 10/1</t>
  </si>
  <si>
    <t>FOLDER MANILA PLUS 8 1/2*11 AMARILLO 100/1</t>
  </si>
  <si>
    <t>FOLDER MANILA PLUS 8 1/2*11 VERDE 100/1</t>
  </si>
  <si>
    <t>FOLDER MANILA PLUS 8 1/2*11 ROJO 100/1</t>
  </si>
  <si>
    <t>FOLDER MANILA PLUS 8 1/2*11 ROSADO 100/1</t>
  </si>
  <si>
    <t>ALM-CD-002</t>
  </si>
  <si>
    <t>TONER CF401A  CYAN</t>
  </si>
  <si>
    <t>TONER CF402A YELLOW</t>
  </si>
  <si>
    <t>ALM-TON-003</t>
  </si>
  <si>
    <t>ALM-TON-002</t>
  </si>
  <si>
    <t>ALM-CAR/P-001</t>
  </si>
  <si>
    <t>ALM-CAR/P-002</t>
  </si>
  <si>
    <t>ALM-CAR/P-003</t>
  </si>
  <si>
    <t>ALM-CAR/P-004</t>
  </si>
  <si>
    <t>ALM-CAR/P-005</t>
  </si>
  <si>
    <t>CARTUCHO PLOTER PFI-107 MBK</t>
  </si>
  <si>
    <t>CARTUCHO PLOTER PFI-107 BK</t>
  </si>
  <si>
    <t>CARTUCHO PLOTER PFI-107 C</t>
  </si>
  <si>
    <t>CARTUCHO PLOTER PFI-107 M</t>
  </si>
  <si>
    <t>CARTUCHO PLOTER PFI-107 Y</t>
  </si>
  <si>
    <t>ALM-CAR-002</t>
  </si>
  <si>
    <t>ALM-CART-001</t>
  </si>
  <si>
    <t>ALM-CARM-001</t>
  </si>
  <si>
    <t>CARPETA POINTER  3 ARGOLLAS  NO. 1(BLANCA).</t>
  </si>
  <si>
    <t>CARPETA POINTER  3 ARGOLLAS  NO. 1.5 (BLANCA).</t>
  </si>
  <si>
    <t>CARPETA POINTER  3 ARGOLLAS  NO. 2 (BLANCA).</t>
  </si>
  <si>
    <t>CARPETA POINTER  3 ARGOLLAS  NO. 3(BLANCA).</t>
  </si>
  <si>
    <t>CARPETA POINTER  3 ARGOLLAS  NO. 4(BLANCA).</t>
  </si>
  <si>
    <t>ALM-PILA-001</t>
  </si>
  <si>
    <t>ALM-PILA-002</t>
  </si>
  <si>
    <t>PILAS DURACEL AAA</t>
  </si>
  <si>
    <t>PILAS DURACEL AA</t>
  </si>
  <si>
    <t>ALM-RES-002</t>
  </si>
  <si>
    <t>ALM-RES-003</t>
  </si>
  <si>
    <t>ALM-RES-006</t>
  </si>
  <si>
    <t>RESALTADOR VERDE PUNTA FINA PELIKAN CAJA 10/2</t>
  </si>
  <si>
    <t>SEPARADORES DE CARPETA (5/1)</t>
  </si>
  <si>
    <t>PAQUETES</t>
  </si>
  <si>
    <t>PORTA LÁPIZ METAL REDONDO</t>
  </si>
  <si>
    <t>CD-MAXELL CON CARATULA   (CAJA 10/1)</t>
  </si>
  <si>
    <t>FOLDER MANILA PLUS 8 1/2*11 100/0</t>
  </si>
  <si>
    <t>21/12/202</t>
  </si>
  <si>
    <t>B1500000278</t>
  </si>
  <si>
    <t>ALM-CUCHARAS-001</t>
  </si>
  <si>
    <t>CUCHARAS DE METAL</t>
  </si>
  <si>
    <t>ALM-TENEDOR-001</t>
  </si>
  <si>
    <t>ALM-CUCHILLO-001</t>
  </si>
  <si>
    <t>TENEDOR DE METAL</t>
  </si>
  <si>
    <t>CUCHILLO DE METAL</t>
  </si>
  <si>
    <t>ALM-INDIVIDUALES -001</t>
  </si>
  <si>
    <t>INDIVIDUALES PLÁSTICOS</t>
  </si>
  <si>
    <t>ALM-BANDEJAS-001</t>
  </si>
  <si>
    <t>ALM-BANDEJAS-002</t>
  </si>
  <si>
    <t>ALM-BANDEJAS-003</t>
  </si>
  <si>
    <t>BANDEJA DE METAL 14*9</t>
  </si>
  <si>
    <t>BANDEJA DE METAL 16*9</t>
  </si>
  <si>
    <t>BANDEJA DE METAL 16*13</t>
  </si>
  <si>
    <t>Maria Lajara Herrera De Ruiz</t>
  </si>
  <si>
    <t>Brenda Yocasta Matos</t>
  </si>
  <si>
    <t>Enc. Contabilidad</t>
  </si>
  <si>
    <t xml:space="preserve"> Elaborado  Por:</t>
  </si>
  <si>
    <t>MASCOTA COCIDAS</t>
  </si>
  <si>
    <t xml:space="preserve">COCINA </t>
  </si>
  <si>
    <t>MATERIALES DE LIMPIEZA</t>
  </si>
  <si>
    <t xml:space="preserve">MATERIALES Y SUMINISTRO DE OFICINA </t>
  </si>
  <si>
    <t>Mantenimiento</t>
  </si>
  <si>
    <t>ITEM</t>
  </si>
  <si>
    <t xml:space="preserve">Total de Inventario                    </t>
  </si>
  <si>
    <t>Revisado por</t>
  </si>
  <si>
    <t>Maria Lajara</t>
  </si>
  <si>
    <t>Enc. Administrativa Financiera</t>
  </si>
  <si>
    <t>SACA</t>
  </si>
  <si>
    <t>DEL 1 DE ENERO AL 31 DE OCTUBRE  2022</t>
  </si>
  <si>
    <t>ALM-BANDEJA-001</t>
  </si>
  <si>
    <t>ALM-BANDEJA-002</t>
  </si>
  <si>
    <t>ALM-BANDEJA-003</t>
  </si>
  <si>
    <t>BANDEJAS DE ALUMINIO DESECHABLE 1 LIB</t>
  </si>
  <si>
    <t>BANDEJAS DE ALUMINIO DESECHABLE 1.5 LIB</t>
  </si>
  <si>
    <t>BANDEJAS DE ALUMINIO DESECHABLE 2 LIB</t>
  </si>
  <si>
    <t>ALM-VASOS-001</t>
  </si>
  <si>
    <t>ALM-VASOS-002</t>
  </si>
  <si>
    <t>ALM-VASOS-003</t>
  </si>
  <si>
    <t>VASO NO. 07 ONZ. DESECHABLES 50/1</t>
  </si>
  <si>
    <t>VASO NO. 04 ONZ. DESECHABLES 50/1</t>
  </si>
  <si>
    <t>ALM-BANDEJA-004</t>
  </si>
  <si>
    <t>BANDEJAS PC DESECLABLE C/TAPA PICADERA 100/1</t>
  </si>
  <si>
    <t>ALM-AZUCAR-001</t>
  </si>
  <si>
    <t xml:space="preserve">PAQ. AZUCAR CREMA 5 LIBRA </t>
  </si>
  <si>
    <t>ALM-COCOA-001</t>
  </si>
  <si>
    <t>FRASCO DE COCOA EN POLVO 32 ONZ</t>
  </si>
  <si>
    <t>ALM-AZUCAR -002</t>
  </si>
  <si>
    <t xml:space="preserve">PAQ.AZUCAR ESPLENDA 100/1 </t>
  </si>
  <si>
    <t xml:space="preserve">PAQ.AZUCAR CREMA 500/1 </t>
  </si>
  <si>
    <t>ALM-AZUCAR -003</t>
  </si>
  <si>
    <t>ALM-CHOCOLATE-01</t>
  </si>
  <si>
    <t>CAJA DE CHOCOLATE 30/1</t>
  </si>
  <si>
    <t>ALM-MALAGUETA-001</t>
  </si>
  <si>
    <t>ALM-CANELA-001</t>
  </si>
  <si>
    <t>PAQ. CANELA ENTERA 9 ONZ</t>
  </si>
  <si>
    <t>PAQ. DE MALAGUETA ENTERA 9 ONZ</t>
  </si>
  <si>
    <t>ALM-SALMOLIDA-001</t>
  </si>
  <si>
    <t>FRASCO DE SAL MOLIDA 510G</t>
  </si>
  <si>
    <t>ALM-CIRUELA PASA-001</t>
  </si>
  <si>
    <t>FRASCO CIRUELA PASAS S/ SEMILLAS</t>
  </si>
  <si>
    <t>VASO NO. 10 ONZ. DESECHABLES BIO  50/1</t>
  </si>
  <si>
    <t>ALM-DESINF-002</t>
  </si>
  <si>
    <t>DESINFECTANTE EN SPRAY LYSOL 19 ONZ</t>
  </si>
  <si>
    <t>ALM-AMB-003</t>
  </si>
  <si>
    <t>ALM-AMB-004</t>
  </si>
  <si>
    <t>AMBIENTADOR  GLADE 8 OZ</t>
  </si>
  <si>
    <t>ALM-FUNDA-004</t>
  </si>
  <si>
    <t>FUNDAS PLASTICAS NEGRA 36/54 C 200 55 GALONES FARDO</t>
  </si>
  <si>
    <t>FUNDAS PLASTICAS NEGRA 17X22C 120 GALONES 100/1</t>
  </si>
  <si>
    <t>ALM-FUNDA-005</t>
  </si>
  <si>
    <t>ALM-ALMIDON-001</t>
  </si>
  <si>
    <t>ALMIDON PARA PLANCHAR</t>
  </si>
  <si>
    <t>DESINFECTANTE MISTOLIN GALONES LINO FRESCO</t>
  </si>
  <si>
    <t>DESINFECTANTE MISTOLIN GALONES BRISA MARINA</t>
  </si>
  <si>
    <t>ALM-DESINF-003</t>
  </si>
  <si>
    <t>ALM-LIMP-002</t>
  </si>
  <si>
    <t>LIMPIADOR DE CERAMICA KLINACCION</t>
  </si>
  <si>
    <t>LIMPIADOR DE INODIRO KLINACCION</t>
  </si>
  <si>
    <t>ALM-DESGR-001</t>
  </si>
  <si>
    <t>DESGRASANTE KLINACCION</t>
  </si>
  <si>
    <t>ALM-CAFÉ-001</t>
  </si>
  <si>
    <t>CAFÉ MOLIDO EN PAQUETE DE UNA LIBRA</t>
  </si>
  <si>
    <t>SACAGRAPA</t>
  </si>
  <si>
    <t>GRAPADORA ESTANDAR ALTESCO</t>
  </si>
  <si>
    <t>ALM-PAB-004</t>
  </si>
  <si>
    <t>ALM-MOUSP-001</t>
  </si>
  <si>
    <t>MOUSE PAD,ARGOM</t>
  </si>
  <si>
    <t>PORTA LÁPIZ DE METAL, NEGRO</t>
  </si>
  <si>
    <t>ROLLO PAPEL BOND PARA PLOTER 24 ABBY</t>
  </si>
  <si>
    <t>PAPEL BOND 20 11X17</t>
  </si>
  <si>
    <t>ALM-PAPEL-001</t>
  </si>
  <si>
    <t>PAPEL SUMADORA EN ROLLO 2 1/4, ANNY</t>
  </si>
  <si>
    <t>LAPIZ DE CARBON NO. 02 STUDIMARK CAJA 12/1</t>
  </si>
  <si>
    <t>ALM-CUADER-001</t>
  </si>
  <si>
    <t>CUADERNOS COCIDOS 200 PAGINAS</t>
  </si>
  <si>
    <t xml:space="preserve">UHU EN PASTA </t>
  </si>
  <si>
    <t>ALM-UNH-002</t>
  </si>
  <si>
    <t>PENDAFLEX 8 1/2X11 CAJA</t>
  </si>
  <si>
    <t>CARTUCHO HP 122CH561HL</t>
  </si>
  <si>
    <t>PAPEL BOND20   8 1/2 X 11 CAJA10/1</t>
  </si>
  <si>
    <t>ALM-PILA-003</t>
  </si>
  <si>
    <t>ALM-PILA-004</t>
  </si>
  <si>
    <t>ALM-POT/L-002</t>
  </si>
  <si>
    <t>ALM-POT/R-002</t>
  </si>
  <si>
    <t>ALM-SACAG-002</t>
  </si>
  <si>
    <t>CERRADURADE PUÑO CON LLAVES</t>
  </si>
  <si>
    <t>ALM-CERRADURA S/LLAVE-001</t>
  </si>
  <si>
    <t>ALM-PAB-002</t>
  </si>
  <si>
    <t>ALM-CHALECO-002</t>
  </si>
  <si>
    <t>CHALECODE SEGURIDAD C/6 BOLSILLOS</t>
  </si>
  <si>
    <t>ALM-PAH-002</t>
  </si>
  <si>
    <t>ALM-PAT-002</t>
  </si>
  <si>
    <t>ALM-LAV-002</t>
  </si>
  <si>
    <t>ALM-CLORO-001</t>
  </si>
  <si>
    <t>CLORO ACEL GALON</t>
  </si>
  <si>
    <t>ALM-DESINF-004</t>
  </si>
  <si>
    <t>ALM-SERVILL-001</t>
  </si>
  <si>
    <t>SERVILLETAS PAQ. 500/1 FARDO</t>
  </si>
  <si>
    <t>ALM-TOALLAS MICROF-001</t>
  </si>
  <si>
    <t>TOALLAS MICROFIBRA 16X16 AMARILLA</t>
  </si>
  <si>
    <t>ALM-BRILLO-001</t>
  </si>
  <si>
    <t>BRILLO VERDE ESPONJA SCOTCH BRITE 3M</t>
  </si>
  <si>
    <t xml:space="preserve">CUCHARAS PEQUEÑAS DE METAL PARA CAFÉ </t>
  </si>
  <si>
    <t>ALM-VASOS-006</t>
  </si>
  <si>
    <t>VASO NO. 06 ONZ. DESECHABLES 50/1</t>
  </si>
  <si>
    <t>ALM-TE-001</t>
  </si>
  <si>
    <t>TE BOLSITAS RASPBERRY Y STRAWBWRY</t>
  </si>
  <si>
    <t>ALM-TE-002</t>
  </si>
  <si>
    <t>TE BOLSITAS FRUTOS ROJO</t>
  </si>
  <si>
    <t>ALM-TE-003</t>
  </si>
  <si>
    <t>TE FRIO</t>
  </si>
  <si>
    <t>ALM-TE-005</t>
  </si>
  <si>
    <t>TE BOLSITAS JENJIBRE Y LIMON</t>
  </si>
  <si>
    <t>TE BOLSITAS FRUTOS MANSANILLA</t>
  </si>
  <si>
    <t>ALMA-TARGET-001</t>
  </si>
  <si>
    <t xml:space="preserve">TARGET EN LONA MATE TAMAÑO 24X24 </t>
  </si>
  <si>
    <t>AMBIENTADOR P/DISPENSADOR  GLADE 6.ONZ</t>
  </si>
  <si>
    <t>ALM-AMB-005</t>
  </si>
  <si>
    <t xml:space="preserve">SACO DE DETERGENTE EN POLVO 30 LIBRAS </t>
  </si>
  <si>
    <t>ALM-AMB-006</t>
  </si>
  <si>
    <t>DESINFECTANTE MISTOLIN GALONES LINO FRESCO/LAVANDA</t>
  </si>
  <si>
    <t>AL 30  DE SEPTIEMBRE 2023</t>
  </si>
  <si>
    <t>ALM-DETERGENTE 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</si>
</sst>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theme="1"/>
      <name val="Times New Roman"/>
      <family val="1"/>
    </font>
    <font>
      <sz val="16"/>
      <color rgb="FFFF000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2" fillId="5" borderId="0" applyNumberFormat="0" applyBorder="0" applyAlignment="0" applyProtection="0"/>
  </cellStyleXfs>
  <cellXfs count="112">
    <xf numFmtId="0" fontId="0" fillId="0" borderId="0" xfId="0"/>
    <xf numFmtId="0" fontId="3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0" fillId="0" borderId="1" xfId="0" applyFont="1" applyBorder="1"/>
    <xf numFmtId="164" fontId="1" fillId="0" borderId="1" xfId="1" applyNumberFormat="1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43" fontId="8" fillId="0" borderId="1" xfId="1" applyFont="1" applyFill="1" applyBorder="1"/>
    <xf numFmtId="164" fontId="3" fillId="2" borderId="1" xfId="1" applyNumberFormat="1" applyFont="1" applyFill="1" applyBorder="1" applyAlignment="1">
      <alignment horizontal="center"/>
    </xf>
    <xf numFmtId="43" fontId="3" fillId="2" borderId="1" xfId="1" applyFont="1" applyFill="1" applyBorder="1"/>
    <xf numFmtId="44" fontId="1" fillId="2" borderId="1" xfId="3" applyFont="1" applyFill="1" applyBorder="1"/>
    <xf numFmtId="0" fontId="0" fillId="2" borderId="1" xfId="0" applyFont="1" applyFill="1" applyBorder="1"/>
    <xf numFmtId="43" fontId="1" fillId="2" borderId="1" xfId="1" applyFont="1" applyFill="1" applyBorder="1"/>
    <xf numFmtId="0" fontId="8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8" fillId="0" borderId="1" xfId="0" applyFont="1" applyFill="1" applyBorder="1"/>
    <xf numFmtId="43" fontId="3" fillId="2" borderId="1" xfId="0" applyNumberFormat="1" applyFont="1" applyFill="1" applyBorder="1"/>
    <xf numFmtId="43" fontId="3" fillId="2" borderId="1" xfId="1" applyNumberFormat="1" applyFont="1" applyFill="1" applyBorder="1"/>
    <xf numFmtId="43" fontId="0" fillId="0" borderId="1" xfId="0" applyNumberFormat="1" applyFont="1" applyBorder="1"/>
    <xf numFmtId="0" fontId="6" fillId="2" borderId="1" xfId="0" applyFont="1" applyFill="1" applyBorder="1"/>
    <xf numFmtId="0" fontId="6" fillId="0" borderId="3" xfId="0" applyFont="1" applyFill="1" applyBorder="1"/>
    <xf numFmtId="43" fontId="8" fillId="0" borderId="2" xfId="0" applyNumberFormat="1" applyFont="1" applyFill="1" applyBorder="1"/>
    <xf numFmtId="43" fontId="3" fillId="4" borderId="1" xfId="1" applyFont="1" applyFill="1" applyBorder="1"/>
    <xf numFmtId="43" fontId="11" fillId="4" borderId="1" xfId="1" applyFont="1" applyFill="1" applyBorder="1"/>
    <xf numFmtId="0" fontId="7" fillId="0" borderId="1" xfId="2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4" borderId="1" xfId="0" applyFont="1" applyFill="1" applyBorder="1"/>
    <xf numFmtId="14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/>
    <xf numFmtId="164" fontId="3" fillId="4" borderId="1" xfId="1" applyNumberFormat="1" applyFont="1" applyFill="1" applyBorder="1" applyAlignment="1">
      <alignment horizontal="center"/>
    </xf>
    <xf numFmtId="44" fontId="1" fillId="4" borderId="1" xfId="3" applyFont="1" applyFill="1" applyBorder="1"/>
    <xf numFmtId="0" fontId="0" fillId="4" borderId="1" xfId="0" applyFont="1" applyFill="1" applyBorder="1"/>
    <xf numFmtId="164" fontId="1" fillId="4" borderId="1" xfId="1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8" fillId="0" borderId="0" xfId="1" applyFont="1" applyFill="1" applyBorder="1"/>
    <xf numFmtId="0" fontId="0" fillId="2" borderId="0" xfId="0" applyFont="1" applyFill="1" applyBorder="1"/>
    <xf numFmtId="43" fontId="1" fillId="2" borderId="0" xfId="1" applyFont="1" applyFill="1" applyBorder="1"/>
    <xf numFmtId="0" fontId="8" fillId="2" borderId="0" xfId="0" applyFont="1" applyFill="1" applyBorder="1"/>
    <xf numFmtId="43" fontId="8" fillId="0" borderId="0" xfId="0" applyNumberFormat="1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43" fontId="1" fillId="0" borderId="0" xfId="1" applyFont="1" applyFill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164" fontId="11" fillId="2" borderId="1" xfId="1" applyNumberFormat="1" applyFont="1" applyFill="1" applyBorder="1" applyAlignment="1">
      <alignment horizontal="center"/>
    </xf>
    <xf numFmtId="164" fontId="11" fillId="4" borderId="1" xfId="1" applyNumberFormat="1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left"/>
    </xf>
    <xf numFmtId="43" fontId="17" fillId="0" borderId="0" xfId="1" applyFont="1" applyFill="1" applyBorder="1"/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43" fontId="17" fillId="2" borderId="0" xfId="1" applyFont="1" applyFill="1" applyBorder="1"/>
    <xf numFmtId="0" fontId="18" fillId="2" borderId="0" xfId="0" applyFont="1" applyFill="1" applyBorder="1"/>
    <xf numFmtId="43" fontId="18" fillId="2" borderId="0" xfId="1" applyFont="1" applyFill="1" applyBorder="1"/>
    <xf numFmtId="0" fontId="8" fillId="2" borderId="0" xfId="0" applyFont="1" applyFill="1" applyBorder="1" applyAlignment="1">
      <alignment horizontal="left"/>
    </xf>
    <xf numFmtId="43" fontId="8" fillId="2" borderId="0" xfId="1" applyFont="1" applyFill="1" applyBorder="1"/>
    <xf numFmtId="43" fontId="0" fillId="2" borderId="0" xfId="0" applyNumberFormat="1" applyFont="1" applyFill="1" applyBorder="1"/>
    <xf numFmtId="43" fontId="4" fillId="2" borderId="0" xfId="1" applyFont="1" applyFill="1" applyBorder="1"/>
    <xf numFmtId="0" fontId="0" fillId="0" borderId="0" xfId="0" applyFont="1" applyBorder="1" applyAlignment="1"/>
    <xf numFmtId="0" fontId="7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3" fillId="3" borderId="0" xfId="4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3" fontId="6" fillId="0" borderId="0" xfId="1" applyFont="1" applyFill="1" applyBorder="1"/>
    <xf numFmtId="43" fontId="4" fillId="0" borderId="4" xfId="1" applyFont="1" applyFill="1" applyBorder="1"/>
    <xf numFmtId="43" fontId="0" fillId="0" borderId="0" xfId="1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0" xfId="2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 vertical="center"/>
    </xf>
    <xf numFmtId="14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43" fontId="20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3" fontId="4" fillId="6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3" fillId="3" borderId="5" xfId="4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</cellXfs>
  <cellStyles count="5">
    <cellStyle name="Énfasis5" xfId="4" builtinId="45"/>
    <cellStyle name="Millares" xfId="1" builtinId="3"/>
    <cellStyle name="Moneda" xfId="3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6600"/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635476</xdr:colOff>
      <xdr:row>0</xdr:row>
      <xdr:rowOff>0</xdr:rowOff>
    </xdr:from>
    <xdr:to>
      <xdr:col>5</xdr:col>
      <xdr:colOff>1872565</xdr:colOff>
      <xdr:row>1</xdr:row>
      <xdr:rowOff>322824</xdr:rowOff>
    </xdr:to>
    <xdr:pic>
      <xdr:nvPicPr>
        <xdr:cNvPr id="3" name="Imagen 2" descr="LOGO IG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695" y="0"/>
          <a:ext cx="1237089" cy="680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2786402</xdr:colOff>
      <xdr:row>0</xdr:row>
      <xdr:rowOff>0</xdr:rowOff>
    </xdr:from>
    <xdr:to>
      <xdr:col>4</xdr:col>
      <xdr:colOff>4131808</xdr:colOff>
      <xdr:row>1</xdr:row>
      <xdr:rowOff>21431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210A8D09-28FB-44A9-9AC5-869843AE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977" y="0"/>
          <a:ext cx="1345406" cy="383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2"/>
  <sheetViews>
    <sheetView showGridLines="0" tabSelected="1" zoomScale="80" zoomScaleNormal="80" workbookViewId="0">
      <selection activeCell="G292" sqref="B1:H292"/>
    </sheetView>
  </sheetViews>
  <sheetFormatPr baseColWidth="10" defaultColWidth="11.42578125" defaultRowHeight="15" x14ac:dyDescent="0.25"/>
  <cols>
    <col min="1" max="1" width="7.28515625" style="45" customWidth="1"/>
    <col min="2" max="2" width="13.28515625" style="47" customWidth="1"/>
    <col min="3" max="3" width="20.140625" style="48" customWidth="1"/>
    <col min="4" max="4" width="22.7109375" style="48" customWidth="1"/>
    <col min="5" max="5" width="31.42578125" style="48" customWidth="1"/>
    <col min="6" max="6" width="73.42578125" style="45" customWidth="1"/>
    <col min="7" max="7" width="23.5703125" style="46" customWidth="1"/>
    <col min="8" max="8" width="30.140625" style="90" customWidth="1"/>
    <col min="9" max="9" width="11.42578125" style="45" customWidth="1"/>
    <col min="10" max="16384" width="11.42578125" style="45"/>
  </cols>
  <sheetData>
    <row r="1" spans="2:8" ht="28.5" x14ac:dyDescent="0.45">
      <c r="C1" s="93"/>
      <c r="D1" s="93"/>
      <c r="E1" s="93"/>
      <c r="F1" s="43"/>
      <c r="G1" s="44"/>
      <c r="H1" s="88"/>
    </row>
    <row r="2" spans="2:8" ht="28.5" x14ac:dyDescent="0.45">
      <c r="C2" s="93"/>
      <c r="D2" s="93"/>
      <c r="E2" s="93"/>
      <c r="F2" s="43"/>
      <c r="G2" s="44"/>
      <c r="H2" s="88"/>
    </row>
    <row r="3" spans="2:8" ht="26.25" x14ac:dyDescent="0.4">
      <c r="B3" s="91" t="s">
        <v>242</v>
      </c>
      <c r="C3" s="91"/>
      <c r="D3" s="91"/>
      <c r="E3" s="91"/>
      <c r="F3" s="91"/>
      <c r="G3" s="91"/>
      <c r="H3" s="91"/>
    </row>
    <row r="4" spans="2:8" ht="26.25" x14ac:dyDescent="0.4">
      <c r="B4" s="91" t="s">
        <v>294</v>
      </c>
      <c r="C4" s="91"/>
      <c r="D4" s="91"/>
      <c r="E4" s="91"/>
      <c r="F4" s="91"/>
      <c r="G4" s="91"/>
      <c r="H4" s="91"/>
    </row>
    <row r="5" spans="2:8" ht="26.25" x14ac:dyDescent="0.4">
      <c r="B5" s="92" t="s">
        <v>574</v>
      </c>
      <c r="C5" s="92"/>
      <c r="D5" s="92"/>
      <c r="E5" s="92"/>
      <c r="F5" s="92"/>
      <c r="G5" s="92"/>
      <c r="H5" s="92"/>
    </row>
    <row r="6" spans="2:8" ht="26.25" x14ac:dyDescent="0.4">
      <c r="B6" s="91" t="s">
        <v>297</v>
      </c>
      <c r="C6" s="91"/>
      <c r="D6" s="91"/>
      <c r="E6" s="91"/>
      <c r="F6" s="91"/>
      <c r="G6" s="91"/>
      <c r="H6" s="91"/>
    </row>
    <row r="7" spans="2:8" ht="15" customHeight="1" x14ac:dyDescent="0.4">
      <c r="B7" s="111"/>
      <c r="C7" s="111"/>
      <c r="D7" s="111"/>
      <c r="E7" s="111"/>
      <c r="F7" s="111"/>
      <c r="G7" s="111"/>
      <c r="H7" s="111"/>
    </row>
    <row r="8" spans="2:8" ht="31.5" x14ac:dyDescent="0.5">
      <c r="B8" s="81" t="s">
        <v>453</v>
      </c>
      <c r="C8" s="81"/>
      <c r="D8" s="81"/>
      <c r="E8" s="81"/>
      <c r="F8" s="81"/>
      <c r="G8" s="81"/>
      <c r="H8" s="81"/>
    </row>
    <row r="9" spans="2:8" s="48" customFormat="1" ht="45" x14ac:dyDescent="0.25">
      <c r="B9" s="102" t="s">
        <v>455</v>
      </c>
      <c r="C9" s="102" t="s">
        <v>322</v>
      </c>
      <c r="D9" s="102" t="s">
        <v>241</v>
      </c>
      <c r="E9" s="102" t="s">
        <v>318</v>
      </c>
      <c r="F9" s="102" t="s">
        <v>161</v>
      </c>
      <c r="G9" s="102" t="s">
        <v>159</v>
      </c>
      <c r="H9" s="103" t="s">
        <v>160</v>
      </c>
    </row>
    <row r="10" spans="2:8" s="46" customFormat="1" ht="20.25" x14ac:dyDescent="0.3">
      <c r="B10" s="59">
        <v>1</v>
      </c>
      <c r="C10" s="94">
        <v>43252</v>
      </c>
      <c r="D10" s="94">
        <v>43253</v>
      </c>
      <c r="E10" s="55" t="s">
        <v>2</v>
      </c>
      <c r="F10" s="55" t="s">
        <v>3</v>
      </c>
      <c r="G10" s="49">
        <v>2</v>
      </c>
      <c r="H10" s="49">
        <v>2556.6666666666601</v>
      </c>
    </row>
    <row r="11" spans="2:8" s="46" customFormat="1" ht="20.25" x14ac:dyDescent="0.3">
      <c r="B11" s="59">
        <v>2</v>
      </c>
      <c r="C11" s="94">
        <v>43609</v>
      </c>
      <c r="D11" s="94">
        <v>43612</v>
      </c>
      <c r="E11" s="55" t="s">
        <v>291</v>
      </c>
      <c r="F11" s="55" t="s">
        <v>236</v>
      </c>
      <c r="G11" s="49">
        <v>5</v>
      </c>
      <c r="H11" s="49">
        <v>2655</v>
      </c>
    </row>
    <row r="12" spans="2:8" s="46" customFormat="1" ht="20.25" x14ac:dyDescent="0.3">
      <c r="B12" s="59">
        <v>3</v>
      </c>
      <c r="C12" s="94">
        <v>43252</v>
      </c>
      <c r="D12" s="94">
        <v>43254</v>
      </c>
      <c r="E12" s="55" t="s">
        <v>171</v>
      </c>
      <c r="F12" s="55" t="s">
        <v>172</v>
      </c>
      <c r="G12" s="49">
        <v>4</v>
      </c>
      <c r="H12" s="49">
        <v>2124</v>
      </c>
    </row>
    <row r="13" spans="2:8" s="46" customFormat="1" ht="22.5" customHeight="1" x14ac:dyDescent="0.3">
      <c r="B13" s="59">
        <v>4</v>
      </c>
      <c r="C13" s="94" t="s">
        <v>369</v>
      </c>
      <c r="D13" s="94" t="s">
        <v>325</v>
      </c>
      <c r="E13" s="55" t="s">
        <v>4</v>
      </c>
      <c r="F13" s="55" t="s">
        <v>383</v>
      </c>
      <c r="G13" s="49">
        <v>68</v>
      </c>
      <c r="H13" s="49">
        <v>401.2</v>
      </c>
    </row>
    <row r="14" spans="2:8" s="46" customFormat="1" ht="22.5" customHeight="1" x14ac:dyDescent="0.3">
      <c r="B14" s="59">
        <v>5</v>
      </c>
      <c r="C14" s="94">
        <v>43609</v>
      </c>
      <c r="D14" s="94">
        <v>43612</v>
      </c>
      <c r="E14" s="55" t="s">
        <v>286</v>
      </c>
      <c r="F14" s="57" t="s">
        <v>7</v>
      </c>
      <c r="G14" s="49">
        <v>17</v>
      </c>
      <c r="H14" s="49">
        <v>5015</v>
      </c>
    </row>
    <row r="15" spans="2:8" s="46" customFormat="1" ht="22.5" customHeight="1" x14ac:dyDescent="0.3">
      <c r="B15" s="59">
        <v>6</v>
      </c>
      <c r="C15" s="94">
        <v>44162</v>
      </c>
      <c r="D15" s="94">
        <v>44187</v>
      </c>
      <c r="E15" s="55" t="s">
        <v>410</v>
      </c>
      <c r="F15" s="55" t="s">
        <v>9</v>
      </c>
      <c r="G15" s="49">
        <v>58</v>
      </c>
      <c r="H15" s="49">
        <v>2737.6</v>
      </c>
    </row>
    <row r="16" spans="2:8" s="46" customFormat="1" ht="20.25" x14ac:dyDescent="0.3">
      <c r="B16" s="59">
        <v>7</v>
      </c>
      <c r="C16" s="94">
        <v>43252</v>
      </c>
      <c r="D16" s="94">
        <v>43253</v>
      </c>
      <c r="E16" s="55" t="s">
        <v>8</v>
      </c>
      <c r="F16" s="55" t="s">
        <v>175</v>
      </c>
      <c r="G16" s="49">
        <v>1</v>
      </c>
      <c r="H16" s="49">
        <v>236</v>
      </c>
    </row>
    <row r="17" spans="2:8" s="46" customFormat="1" ht="20.25" x14ac:dyDescent="0.3">
      <c r="B17" s="59">
        <v>8</v>
      </c>
      <c r="C17" s="94">
        <v>43252</v>
      </c>
      <c r="D17" s="94">
        <v>43253</v>
      </c>
      <c r="E17" s="55" t="s">
        <v>8</v>
      </c>
      <c r="F17" s="55" t="s">
        <v>412</v>
      </c>
      <c r="G17" s="49">
        <v>12</v>
      </c>
      <c r="H17" s="49">
        <v>1062</v>
      </c>
    </row>
    <row r="18" spans="2:8" s="46" customFormat="1" ht="20.25" x14ac:dyDescent="0.3">
      <c r="B18" s="59">
        <v>9</v>
      </c>
      <c r="C18" s="94">
        <v>44162</v>
      </c>
      <c r="D18" s="94">
        <v>44187</v>
      </c>
      <c r="E18" s="55" t="s">
        <v>409</v>
      </c>
      <c r="F18" s="55" t="s">
        <v>413</v>
      </c>
      <c r="G18" s="49">
        <v>23</v>
      </c>
      <c r="H18" s="49">
        <v>2714</v>
      </c>
    </row>
    <row r="19" spans="2:8" s="46" customFormat="1" ht="20.25" x14ac:dyDescent="0.3">
      <c r="B19" s="59">
        <v>10</v>
      </c>
      <c r="C19" s="94">
        <v>44162</v>
      </c>
      <c r="D19" s="94">
        <v>44187</v>
      </c>
      <c r="E19" s="55" t="s">
        <v>10</v>
      </c>
      <c r="F19" s="55" t="s">
        <v>414</v>
      </c>
      <c r="G19" s="49">
        <v>31</v>
      </c>
      <c r="H19" s="49">
        <v>4023.8</v>
      </c>
    </row>
    <row r="20" spans="2:8" s="46" customFormat="1" ht="20.25" x14ac:dyDescent="0.3">
      <c r="B20" s="59">
        <v>11</v>
      </c>
      <c r="C20" s="94">
        <v>44162</v>
      </c>
      <c r="D20" s="94">
        <v>44187</v>
      </c>
      <c r="E20" s="55" t="s">
        <v>11</v>
      </c>
      <c r="F20" s="55" t="s">
        <v>415</v>
      </c>
      <c r="G20" s="49">
        <v>9</v>
      </c>
      <c r="H20" s="49">
        <v>1593</v>
      </c>
    </row>
    <row r="21" spans="2:8" s="46" customFormat="1" ht="20.25" x14ac:dyDescent="0.3">
      <c r="B21" s="59">
        <v>12</v>
      </c>
      <c r="C21" s="94">
        <v>44162</v>
      </c>
      <c r="D21" s="94">
        <v>44187</v>
      </c>
      <c r="E21" s="55" t="s">
        <v>176</v>
      </c>
      <c r="F21" s="55" t="s">
        <v>416</v>
      </c>
      <c r="G21" s="49">
        <v>17</v>
      </c>
      <c r="H21" s="49">
        <v>4012</v>
      </c>
    </row>
    <row r="22" spans="2:8" s="46" customFormat="1" ht="20.25" x14ac:dyDescent="0.3">
      <c r="B22" s="59">
        <v>13</v>
      </c>
      <c r="C22" s="94">
        <v>43252</v>
      </c>
      <c r="D22" s="94">
        <v>43253</v>
      </c>
      <c r="E22" s="55" t="s">
        <v>409</v>
      </c>
      <c r="F22" s="55" t="s">
        <v>243</v>
      </c>
      <c r="G22" s="49">
        <v>1</v>
      </c>
      <c r="H22" s="49">
        <v>354</v>
      </c>
    </row>
    <row r="23" spans="2:8" s="50" customFormat="1" ht="20.25" x14ac:dyDescent="0.3">
      <c r="B23" s="59">
        <v>14</v>
      </c>
      <c r="C23" s="96">
        <v>45036</v>
      </c>
      <c r="D23" s="96">
        <v>44187</v>
      </c>
      <c r="E23" s="72" t="s">
        <v>12</v>
      </c>
      <c r="F23" s="72" t="s">
        <v>262</v>
      </c>
      <c r="G23" s="73">
        <v>3</v>
      </c>
      <c r="H23" s="73">
        <v>2301</v>
      </c>
    </row>
    <row r="24" spans="2:8" s="46" customFormat="1" ht="20.25" x14ac:dyDescent="0.3">
      <c r="B24" s="59">
        <v>15</v>
      </c>
      <c r="C24" s="94">
        <v>43830</v>
      </c>
      <c r="D24" s="94">
        <v>43859</v>
      </c>
      <c r="E24" s="55" t="s">
        <v>409</v>
      </c>
      <c r="F24" s="55" t="s">
        <v>319</v>
      </c>
      <c r="G24" s="49">
        <v>12</v>
      </c>
      <c r="H24" s="49">
        <v>4248</v>
      </c>
    </row>
    <row r="25" spans="2:8" s="46" customFormat="1" ht="20.25" x14ac:dyDescent="0.3">
      <c r="B25" s="59">
        <v>16</v>
      </c>
      <c r="C25" s="94">
        <v>44162</v>
      </c>
      <c r="D25" s="94">
        <v>44187</v>
      </c>
      <c r="E25" s="55" t="s">
        <v>11</v>
      </c>
      <c r="F25" s="55" t="s">
        <v>177</v>
      </c>
      <c r="G25" s="49">
        <v>1</v>
      </c>
      <c r="H25" s="49">
        <v>826</v>
      </c>
    </row>
    <row r="26" spans="2:8" s="46" customFormat="1" ht="20.25" x14ac:dyDescent="0.3">
      <c r="B26" s="59">
        <v>17</v>
      </c>
      <c r="C26" s="94">
        <v>44162</v>
      </c>
      <c r="D26" s="94">
        <v>44187</v>
      </c>
      <c r="E26" s="55" t="s">
        <v>411</v>
      </c>
      <c r="F26" s="55" t="s">
        <v>14</v>
      </c>
      <c r="G26" s="49">
        <v>29</v>
      </c>
      <c r="H26" s="49">
        <v>13345.8</v>
      </c>
    </row>
    <row r="27" spans="2:8" s="46" customFormat="1" ht="20.25" x14ac:dyDescent="0.3">
      <c r="B27" s="59">
        <v>18</v>
      </c>
      <c r="C27" s="94">
        <v>44162</v>
      </c>
      <c r="D27" s="94">
        <v>44187</v>
      </c>
      <c r="E27" s="55" t="s">
        <v>411</v>
      </c>
      <c r="F27" s="55" t="s">
        <v>14</v>
      </c>
      <c r="G27" s="49">
        <v>12</v>
      </c>
      <c r="H27" s="49">
        <v>212.4</v>
      </c>
    </row>
    <row r="28" spans="2:8" s="46" customFormat="1" ht="20.25" x14ac:dyDescent="0.3">
      <c r="B28" s="59">
        <v>19</v>
      </c>
      <c r="C28" s="94">
        <v>43609</v>
      </c>
      <c r="D28" s="94">
        <v>43612</v>
      </c>
      <c r="E28" s="55" t="s">
        <v>400</v>
      </c>
      <c r="F28" s="55" t="s">
        <v>405</v>
      </c>
      <c r="G28" s="49">
        <v>2</v>
      </c>
      <c r="H28" s="49">
        <v>16874</v>
      </c>
    </row>
    <row r="29" spans="2:8" s="46" customFormat="1" ht="20.25" x14ac:dyDescent="0.3">
      <c r="B29" s="59">
        <v>20</v>
      </c>
      <c r="C29" s="94">
        <v>43609</v>
      </c>
      <c r="D29" s="94">
        <v>43612</v>
      </c>
      <c r="E29" s="55" t="s">
        <v>401</v>
      </c>
      <c r="F29" s="55" t="s">
        <v>406</v>
      </c>
      <c r="G29" s="49">
        <v>2</v>
      </c>
      <c r="H29" s="49">
        <v>16874</v>
      </c>
    </row>
    <row r="30" spans="2:8" s="46" customFormat="1" ht="20.25" x14ac:dyDescent="0.3">
      <c r="B30" s="59">
        <v>21</v>
      </c>
      <c r="C30" s="94">
        <v>43609</v>
      </c>
      <c r="D30" s="94">
        <v>43612</v>
      </c>
      <c r="E30" s="55" t="s">
        <v>402</v>
      </c>
      <c r="F30" s="55" t="s">
        <v>407</v>
      </c>
      <c r="G30" s="49">
        <v>2</v>
      </c>
      <c r="H30" s="49">
        <v>16874</v>
      </c>
    </row>
    <row r="31" spans="2:8" s="46" customFormat="1" ht="20.25" x14ac:dyDescent="0.3">
      <c r="B31" s="59">
        <v>22</v>
      </c>
      <c r="C31" s="94">
        <v>43252</v>
      </c>
      <c r="D31" s="94">
        <v>43253</v>
      </c>
      <c r="E31" s="55" t="s">
        <v>399</v>
      </c>
      <c r="F31" s="55" t="s">
        <v>404</v>
      </c>
      <c r="G31" s="49">
        <v>4</v>
      </c>
      <c r="H31" s="49">
        <v>33040</v>
      </c>
    </row>
    <row r="32" spans="2:8" s="46" customFormat="1" ht="20.25" x14ac:dyDescent="0.3">
      <c r="B32" s="59">
        <v>23</v>
      </c>
      <c r="C32" s="94">
        <v>43252</v>
      </c>
      <c r="D32" s="94">
        <v>43253</v>
      </c>
      <c r="E32" s="55" t="s">
        <v>403</v>
      </c>
      <c r="F32" s="55" t="s">
        <v>408</v>
      </c>
      <c r="G32" s="49">
        <v>2</v>
      </c>
      <c r="H32" s="49">
        <v>16874</v>
      </c>
    </row>
    <row r="33" spans="2:8" s="50" customFormat="1" ht="20.25" x14ac:dyDescent="0.3">
      <c r="B33" s="59">
        <v>24</v>
      </c>
      <c r="C33" s="96">
        <v>45036</v>
      </c>
      <c r="D33" s="96">
        <v>43253</v>
      </c>
      <c r="E33" s="72" t="s">
        <v>403</v>
      </c>
      <c r="F33" s="72" t="s">
        <v>531</v>
      </c>
      <c r="G33" s="73">
        <v>3</v>
      </c>
      <c r="H33" s="73">
        <v>3540</v>
      </c>
    </row>
    <row r="34" spans="2:8" s="46" customFormat="1" ht="20.25" x14ac:dyDescent="0.3">
      <c r="B34" s="59">
        <v>25</v>
      </c>
      <c r="C34" s="94">
        <v>43252</v>
      </c>
      <c r="D34" s="94">
        <v>43253</v>
      </c>
      <c r="E34" s="55" t="s">
        <v>15</v>
      </c>
      <c r="F34" s="57" t="s">
        <v>16</v>
      </c>
      <c r="G34" s="49">
        <v>14</v>
      </c>
      <c r="H34" s="49">
        <v>1147.2222222222199</v>
      </c>
    </row>
    <row r="35" spans="2:8" s="46" customFormat="1" ht="20.25" x14ac:dyDescent="0.3">
      <c r="B35" s="59">
        <v>26</v>
      </c>
      <c r="C35" s="94">
        <v>44162</v>
      </c>
      <c r="D35" s="94">
        <v>44187</v>
      </c>
      <c r="E35" s="55" t="s">
        <v>394</v>
      </c>
      <c r="F35" s="57" t="s">
        <v>428</v>
      </c>
      <c r="G35" s="49">
        <v>41</v>
      </c>
      <c r="H35" s="49">
        <v>1790.06</v>
      </c>
    </row>
    <row r="36" spans="2:8" s="46" customFormat="1" ht="20.25" x14ac:dyDescent="0.3">
      <c r="B36" s="59">
        <v>27</v>
      </c>
      <c r="C36" s="94">
        <v>43609</v>
      </c>
      <c r="D36" s="94">
        <v>43612</v>
      </c>
      <c r="E36" s="55" t="s">
        <v>17</v>
      </c>
      <c r="F36" s="55" t="s">
        <v>18</v>
      </c>
      <c r="G36" s="49">
        <v>8</v>
      </c>
      <c r="H36" s="49">
        <v>755.2</v>
      </c>
    </row>
    <row r="37" spans="2:8" s="46" customFormat="1" ht="20.25" x14ac:dyDescent="0.3">
      <c r="B37" s="59">
        <v>28</v>
      </c>
      <c r="C37" s="94">
        <v>44162</v>
      </c>
      <c r="D37" s="94">
        <v>44187</v>
      </c>
      <c r="E37" s="55" t="s">
        <v>17</v>
      </c>
      <c r="F37" s="55" t="s">
        <v>18</v>
      </c>
      <c r="G37" s="49">
        <v>12</v>
      </c>
      <c r="H37" s="49">
        <v>708</v>
      </c>
    </row>
    <row r="38" spans="2:8" s="46" customFormat="1" ht="20.25" x14ac:dyDescent="0.3">
      <c r="B38" s="59">
        <v>29</v>
      </c>
      <c r="C38" s="94">
        <v>43609</v>
      </c>
      <c r="D38" s="94">
        <v>43612</v>
      </c>
      <c r="E38" s="55" t="s">
        <v>231</v>
      </c>
      <c r="F38" s="55" t="s">
        <v>232</v>
      </c>
      <c r="G38" s="49">
        <v>8</v>
      </c>
      <c r="H38" s="49">
        <v>472</v>
      </c>
    </row>
    <row r="39" spans="2:8" s="46" customFormat="1" ht="20.25" x14ac:dyDescent="0.3">
      <c r="B39" s="59">
        <v>30</v>
      </c>
      <c r="C39" s="94">
        <v>43609</v>
      </c>
      <c r="D39" s="94">
        <v>43612</v>
      </c>
      <c r="E39" s="55" t="s">
        <v>212</v>
      </c>
      <c r="F39" s="55" t="s">
        <v>213</v>
      </c>
      <c r="G39" s="49">
        <v>3</v>
      </c>
      <c r="H39" s="49">
        <v>407.1</v>
      </c>
    </row>
    <row r="40" spans="2:8" s="46" customFormat="1" ht="20.25" x14ac:dyDescent="0.3">
      <c r="B40" s="59">
        <v>31</v>
      </c>
      <c r="C40" s="94">
        <v>44162</v>
      </c>
      <c r="D40" s="94">
        <v>44187</v>
      </c>
      <c r="E40" s="55" t="s">
        <v>212</v>
      </c>
      <c r="F40" s="55" t="s">
        <v>213</v>
      </c>
      <c r="G40" s="49">
        <v>48</v>
      </c>
      <c r="H40" s="49">
        <v>2832</v>
      </c>
    </row>
    <row r="41" spans="2:8" s="46" customFormat="1" ht="20.25" x14ac:dyDescent="0.3">
      <c r="B41" s="59">
        <v>32</v>
      </c>
      <c r="C41" s="94">
        <v>43609</v>
      </c>
      <c r="D41" s="94">
        <v>43612</v>
      </c>
      <c r="E41" s="55" t="s">
        <v>21</v>
      </c>
      <c r="F41" s="55" t="s">
        <v>22</v>
      </c>
      <c r="G41" s="49">
        <v>2</v>
      </c>
      <c r="H41" s="49">
        <v>236</v>
      </c>
    </row>
    <row r="42" spans="2:8" s="46" customFormat="1" ht="20.25" x14ac:dyDescent="0.3">
      <c r="B42" s="59">
        <v>33</v>
      </c>
      <c r="C42" s="94">
        <v>43609</v>
      </c>
      <c r="D42" s="94">
        <v>43612</v>
      </c>
      <c r="E42" s="55" t="s">
        <v>21</v>
      </c>
      <c r="F42" s="55" t="s">
        <v>22</v>
      </c>
      <c r="G42" s="49">
        <v>3</v>
      </c>
      <c r="H42" s="49">
        <v>88.5</v>
      </c>
    </row>
    <row r="43" spans="2:8" s="46" customFormat="1" ht="20.25" x14ac:dyDescent="0.3">
      <c r="B43" s="59">
        <v>34</v>
      </c>
      <c r="C43" s="94">
        <v>43609</v>
      </c>
      <c r="D43" s="94">
        <v>43612</v>
      </c>
      <c r="E43" s="55" t="s">
        <v>23</v>
      </c>
      <c r="F43" s="55" t="s">
        <v>24</v>
      </c>
      <c r="G43" s="49">
        <v>2</v>
      </c>
      <c r="H43" s="49">
        <v>472</v>
      </c>
    </row>
    <row r="44" spans="2:8" s="46" customFormat="1" ht="20.25" x14ac:dyDescent="0.3">
      <c r="B44" s="59">
        <v>35</v>
      </c>
      <c r="C44" s="94">
        <v>43252</v>
      </c>
      <c r="D44" s="94">
        <v>43255</v>
      </c>
      <c r="E44" s="55" t="s">
        <v>23</v>
      </c>
      <c r="F44" s="55" t="s">
        <v>24</v>
      </c>
      <c r="G44" s="49">
        <v>4</v>
      </c>
      <c r="H44" s="49">
        <v>269.04000000000002</v>
      </c>
    </row>
    <row r="45" spans="2:8" s="46" customFormat="1" ht="20.25" x14ac:dyDescent="0.3">
      <c r="B45" s="59">
        <v>36</v>
      </c>
      <c r="C45" s="94">
        <v>43609</v>
      </c>
      <c r="D45" s="94">
        <v>43612</v>
      </c>
      <c r="E45" s="55" t="s">
        <v>25</v>
      </c>
      <c r="F45" s="55" t="s">
        <v>26</v>
      </c>
      <c r="G45" s="49">
        <v>2</v>
      </c>
      <c r="H45" s="49">
        <v>708</v>
      </c>
    </row>
    <row r="46" spans="2:8" s="46" customFormat="1" ht="20.25" x14ac:dyDescent="0.3">
      <c r="B46" s="59">
        <v>37</v>
      </c>
      <c r="C46" s="94">
        <v>43609</v>
      </c>
      <c r="D46" s="94">
        <v>43612</v>
      </c>
      <c r="E46" s="55" t="s">
        <v>25</v>
      </c>
      <c r="F46" s="55" t="s">
        <v>26</v>
      </c>
      <c r="G46" s="49">
        <v>4</v>
      </c>
      <c r="H46" s="49">
        <v>424.8</v>
      </c>
    </row>
    <row r="47" spans="2:8" s="46" customFormat="1" ht="20.25" x14ac:dyDescent="0.3">
      <c r="B47" s="59">
        <v>38</v>
      </c>
      <c r="C47" s="94">
        <v>44162</v>
      </c>
      <c r="D47" s="94">
        <v>44187</v>
      </c>
      <c r="E47" s="55" t="s">
        <v>27</v>
      </c>
      <c r="F47" s="55" t="s">
        <v>388</v>
      </c>
      <c r="G47" s="49">
        <v>29</v>
      </c>
      <c r="H47" s="49">
        <v>752.84</v>
      </c>
    </row>
    <row r="48" spans="2:8" s="46" customFormat="1" ht="20.25" x14ac:dyDescent="0.3">
      <c r="B48" s="59">
        <v>39</v>
      </c>
      <c r="C48" s="94">
        <v>44162</v>
      </c>
      <c r="D48" s="94">
        <v>44187</v>
      </c>
      <c r="E48" s="55" t="s">
        <v>27</v>
      </c>
      <c r="F48" s="55" t="s">
        <v>28</v>
      </c>
      <c r="G48" s="49">
        <v>19</v>
      </c>
      <c r="H48" s="49">
        <v>1810.8634</v>
      </c>
    </row>
    <row r="49" spans="2:9" s="46" customFormat="1" ht="20.25" x14ac:dyDescent="0.3">
      <c r="B49" s="59">
        <v>40</v>
      </c>
      <c r="C49" s="94">
        <v>44162</v>
      </c>
      <c r="D49" s="94">
        <v>44187</v>
      </c>
      <c r="E49" s="55" t="s">
        <v>27</v>
      </c>
      <c r="F49" s="55" t="s">
        <v>28</v>
      </c>
      <c r="G49" s="49">
        <v>8</v>
      </c>
      <c r="H49" s="49">
        <v>1699.2</v>
      </c>
    </row>
    <row r="50" spans="2:9" s="46" customFormat="1" ht="20.25" x14ac:dyDescent="0.3">
      <c r="B50" s="59">
        <v>41</v>
      </c>
      <c r="C50" s="94">
        <v>44162</v>
      </c>
      <c r="D50" s="94">
        <v>44187</v>
      </c>
      <c r="E50" s="55" t="s">
        <v>29</v>
      </c>
      <c r="F50" s="55" t="s">
        <v>389</v>
      </c>
      <c r="G50" s="49">
        <v>34</v>
      </c>
      <c r="H50" s="49">
        <v>441.32</v>
      </c>
    </row>
    <row r="51" spans="2:9" s="46" customFormat="1" ht="20.25" x14ac:dyDescent="0.3">
      <c r="B51" s="59">
        <v>42</v>
      </c>
      <c r="C51" s="94">
        <v>44162</v>
      </c>
      <c r="D51" s="94">
        <v>44187</v>
      </c>
      <c r="E51" s="55" t="s">
        <v>29</v>
      </c>
      <c r="F51" s="55" t="s">
        <v>30</v>
      </c>
      <c r="G51" s="49">
        <v>1</v>
      </c>
      <c r="H51" s="49">
        <v>153.4</v>
      </c>
    </row>
    <row r="52" spans="2:9" s="46" customFormat="1" ht="20.25" x14ac:dyDescent="0.3">
      <c r="B52" s="59">
        <v>43</v>
      </c>
      <c r="C52" s="94" t="s">
        <v>369</v>
      </c>
      <c r="D52" s="94" t="s">
        <v>325</v>
      </c>
      <c r="E52" s="55" t="s">
        <v>31</v>
      </c>
      <c r="F52" s="55" t="s">
        <v>32</v>
      </c>
      <c r="G52" s="49">
        <v>1</v>
      </c>
      <c r="H52" s="49">
        <v>2924.04</v>
      </c>
    </row>
    <row r="53" spans="2:9" s="46" customFormat="1" ht="20.25" x14ac:dyDescent="0.3">
      <c r="B53" s="59">
        <v>44</v>
      </c>
      <c r="C53" s="94">
        <v>43252</v>
      </c>
      <c r="D53" s="94">
        <v>43256</v>
      </c>
      <c r="E53" s="55" t="s">
        <v>182</v>
      </c>
      <c r="F53" s="55" t="s">
        <v>386</v>
      </c>
      <c r="G53" s="49">
        <v>6</v>
      </c>
      <c r="H53" s="49">
        <v>106.2</v>
      </c>
    </row>
    <row r="54" spans="2:9" s="50" customFormat="1" ht="20.25" x14ac:dyDescent="0.3">
      <c r="B54" s="59">
        <v>45</v>
      </c>
      <c r="C54" s="96">
        <v>45036</v>
      </c>
      <c r="D54" s="96">
        <f>+C54</f>
        <v>45036</v>
      </c>
      <c r="E54" s="72" t="s">
        <v>526</v>
      </c>
      <c r="F54" s="72" t="s">
        <v>527</v>
      </c>
      <c r="G54" s="73">
        <v>6</v>
      </c>
      <c r="H54" s="73">
        <v>480</v>
      </c>
    </row>
    <row r="55" spans="2:9" s="46" customFormat="1" ht="20.25" x14ac:dyDescent="0.3">
      <c r="B55" s="59">
        <v>46</v>
      </c>
      <c r="C55" s="94">
        <v>43609</v>
      </c>
      <c r="D55" s="94">
        <v>43612</v>
      </c>
      <c r="E55" s="55" t="s">
        <v>33</v>
      </c>
      <c r="F55" s="55" t="s">
        <v>34</v>
      </c>
      <c r="G55" s="49">
        <v>24</v>
      </c>
      <c r="H55" s="49">
        <v>5664</v>
      </c>
    </row>
    <row r="56" spans="2:9" s="46" customFormat="1" ht="20.25" x14ac:dyDescent="0.3">
      <c r="B56" s="59">
        <v>47</v>
      </c>
      <c r="C56" s="94">
        <v>43830</v>
      </c>
      <c r="D56" s="94">
        <v>43858</v>
      </c>
      <c r="E56" s="55" t="s">
        <v>268</v>
      </c>
      <c r="F56" s="55" t="s">
        <v>269</v>
      </c>
      <c r="G56" s="49">
        <v>1</v>
      </c>
      <c r="H56" s="49">
        <v>10500</v>
      </c>
    </row>
    <row r="57" spans="2:9" s="46" customFormat="1" ht="20.25" x14ac:dyDescent="0.3">
      <c r="B57" s="59">
        <v>48</v>
      </c>
      <c r="C57" s="94">
        <v>43830</v>
      </c>
      <c r="D57" s="94">
        <v>43859</v>
      </c>
      <c r="E57" s="55" t="s">
        <v>35</v>
      </c>
      <c r="F57" s="57" t="s">
        <v>264</v>
      </c>
      <c r="G57" s="49">
        <v>131</v>
      </c>
      <c r="H57" s="49">
        <v>903.9</v>
      </c>
    </row>
    <row r="58" spans="2:9" s="46" customFormat="1" ht="20.25" x14ac:dyDescent="0.3">
      <c r="B58" s="59">
        <v>49</v>
      </c>
      <c r="C58" s="94">
        <v>43830</v>
      </c>
      <c r="D58" s="94">
        <v>43859</v>
      </c>
      <c r="E58" s="55" t="s">
        <v>36</v>
      </c>
      <c r="F58" s="57" t="s">
        <v>265</v>
      </c>
      <c r="G58" s="49">
        <v>189</v>
      </c>
      <c r="H58" s="49">
        <v>1682.1</v>
      </c>
    </row>
    <row r="59" spans="2:9" s="46" customFormat="1" ht="20.25" x14ac:dyDescent="0.3">
      <c r="B59" s="59">
        <v>50</v>
      </c>
      <c r="C59" s="94">
        <v>43609</v>
      </c>
      <c r="D59" s="94">
        <v>43612</v>
      </c>
      <c r="E59" s="55" t="s">
        <v>38</v>
      </c>
      <c r="F59" s="55" t="s">
        <v>37</v>
      </c>
      <c r="G59" s="49">
        <v>7</v>
      </c>
      <c r="H59" s="49">
        <v>1458.3309999999999</v>
      </c>
    </row>
    <row r="60" spans="2:9" s="46" customFormat="1" ht="20.25" x14ac:dyDescent="0.3">
      <c r="B60" s="59">
        <v>51</v>
      </c>
      <c r="C60" s="94">
        <v>43207</v>
      </c>
      <c r="D60" s="94">
        <v>43208</v>
      </c>
      <c r="E60" s="55" t="s">
        <v>40</v>
      </c>
      <c r="F60" s="55" t="s">
        <v>371</v>
      </c>
      <c r="G60" s="49">
        <v>130</v>
      </c>
      <c r="H60" s="49">
        <v>1625</v>
      </c>
    </row>
    <row r="61" spans="2:9" s="46" customFormat="1" ht="20.25" x14ac:dyDescent="0.3">
      <c r="B61" s="59">
        <v>52</v>
      </c>
      <c r="C61" s="94" t="s">
        <v>369</v>
      </c>
      <c r="D61" s="94" t="s">
        <v>325</v>
      </c>
      <c r="E61" s="55" t="s">
        <v>38</v>
      </c>
      <c r="F61" s="55" t="s">
        <v>39</v>
      </c>
      <c r="G61" s="49">
        <v>36</v>
      </c>
      <c r="H61" s="49">
        <v>2973.6</v>
      </c>
    </row>
    <row r="62" spans="2:9" s="46" customFormat="1" ht="20.25" x14ac:dyDescent="0.3">
      <c r="B62" s="59">
        <v>53</v>
      </c>
      <c r="C62" s="94">
        <v>43252</v>
      </c>
      <c r="D62" s="94">
        <v>43253</v>
      </c>
      <c r="E62" s="55" t="s">
        <v>38</v>
      </c>
      <c r="F62" s="55" t="s">
        <v>41</v>
      </c>
      <c r="G62" s="49">
        <v>20</v>
      </c>
      <c r="H62" s="49">
        <v>5000</v>
      </c>
    </row>
    <row r="63" spans="2:9" s="46" customFormat="1" ht="20.25" x14ac:dyDescent="0.3">
      <c r="B63" s="59">
        <v>54</v>
      </c>
      <c r="C63" s="94">
        <v>43609</v>
      </c>
      <c r="D63" s="94">
        <v>43612</v>
      </c>
      <c r="E63" s="55" t="s">
        <v>40</v>
      </c>
      <c r="F63" s="55" t="s">
        <v>41</v>
      </c>
      <c r="G63" s="49">
        <v>10</v>
      </c>
      <c r="H63" s="49">
        <v>826</v>
      </c>
    </row>
    <row r="64" spans="2:9" s="46" customFormat="1" ht="20.25" x14ac:dyDescent="0.3">
      <c r="B64" s="59">
        <v>55</v>
      </c>
      <c r="C64" s="94">
        <v>43657</v>
      </c>
      <c r="D64" s="94">
        <v>43677</v>
      </c>
      <c r="E64" s="55" t="s">
        <v>42</v>
      </c>
      <c r="F64" s="55" t="s">
        <v>43</v>
      </c>
      <c r="G64" s="49">
        <v>166</v>
      </c>
      <c r="H64" s="49">
        <v>581</v>
      </c>
      <c r="I64" s="56"/>
    </row>
    <row r="65" spans="2:9" s="46" customFormat="1" ht="20.25" x14ac:dyDescent="0.3">
      <c r="B65" s="59">
        <v>56</v>
      </c>
      <c r="C65" s="94">
        <v>43252</v>
      </c>
      <c r="D65" s="94">
        <v>43253</v>
      </c>
      <c r="E65" s="55" t="s">
        <v>42</v>
      </c>
      <c r="F65" s="55" t="s">
        <v>429</v>
      </c>
      <c r="G65" s="49">
        <v>446</v>
      </c>
      <c r="H65" s="49">
        <v>1841.98</v>
      </c>
      <c r="I65" s="56"/>
    </row>
    <row r="66" spans="2:9" s="46" customFormat="1" ht="20.25" x14ac:dyDescent="0.3">
      <c r="B66" s="59">
        <v>57</v>
      </c>
      <c r="C66" s="94">
        <v>43609</v>
      </c>
      <c r="D66" s="94">
        <v>43612</v>
      </c>
      <c r="E66" s="55" t="s">
        <v>42</v>
      </c>
      <c r="F66" s="55" t="s">
        <v>384</v>
      </c>
      <c r="G66" s="49">
        <v>790</v>
      </c>
      <c r="H66" s="49">
        <v>1957.62</v>
      </c>
      <c r="I66" s="56"/>
    </row>
    <row r="67" spans="2:9" s="46" customFormat="1" ht="20.25" x14ac:dyDescent="0.3">
      <c r="B67" s="59">
        <v>58</v>
      </c>
      <c r="C67" s="94">
        <v>43207</v>
      </c>
      <c r="D67" s="94">
        <v>43208</v>
      </c>
      <c r="E67" s="55" t="s">
        <v>42</v>
      </c>
      <c r="F67" s="55" t="s">
        <v>390</v>
      </c>
      <c r="G67" s="49">
        <v>142</v>
      </c>
      <c r="H67" s="49">
        <v>1005.36</v>
      </c>
      <c r="I67" s="56"/>
    </row>
    <row r="68" spans="2:9" s="46" customFormat="1" ht="20.25" x14ac:dyDescent="0.3">
      <c r="B68" s="59">
        <v>59</v>
      </c>
      <c r="C68" s="94">
        <v>43252</v>
      </c>
      <c r="D68" s="94">
        <v>43253</v>
      </c>
      <c r="E68" s="55" t="s">
        <v>46</v>
      </c>
      <c r="F68" s="55" t="s">
        <v>392</v>
      </c>
      <c r="G68" s="49">
        <v>199</v>
      </c>
      <c r="H68" s="49">
        <v>1408.92</v>
      </c>
      <c r="I68" s="56"/>
    </row>
    <row r="69" spans="2:9" s="46" customFormat="1" ht="20.25" x14ac:dyDescent="0.3">
      <c r="B69" s="59">
        <v>60</v>
      </c>
      <c r="C69" s="94" t="s">
        <v>369</v>
      </c>
      <c r="D69" s="94" t="s">
        <v>325</v>
      </c>
      <c r="E69" s="55" t="s">
        <v>48</v>
      </c>
      <c r="F69" s="55" t="s">
        <v>393</v>
      </c>
      <c r="G69" s="49">
        <v>183</v>
      </c>
      <c r="H69" s="49">
        <v>1295.6400000000001</v>
      </c>
      <c r="I69" s="56"/>
    </row>
    <row r="70" spans="2:9" s="46" customFormat="1" ht="20.25" x14ac:dyDescent="0.3">
      <c r="B70" s="59">
        <v>61</v>
      </c>
      <c r="C70" s="94">
        <v>43830</v>
      </c>
      <c r="D70" s="94">
        <v>43859</v>
      </c>
      <c r="E70" s="55" t="s">
        <v>44</v>
      </c>
      <c r="F70" s="55" t="s">
        <v>391</v>
      </c>
      <c r="G70" s="49">
        <v>196</v>
      </c>
      <c r="H70" s="49">
        <v>1387.68</v>
      </c>
      <c r="I70" s="56"/>
    </row>
    <row r="71" spans="2:9" s="46" customFormat="1" ht="20.25" x14ac:dyDescent="0.3">
      <c r="B71" s="59">
        <v>62</v>
      </c>
      <c r="C71" s="94">
        <v>43252</v>
      </c>
      <c r="D71" s="94">
        <v>43253</v>
      </c>
      <c r="E71" s="55" t="s">
        <v>44</v>
      </c>
      <c r="F71" s="55" t="s">
        <v>45</v>
      </c>
      <c r="G71" s="49">
        <v>33</v>
      </c>
      <c r="H71" s="49">
        <v>700.92</v>
      </c>
      <c r="I71" s="56"/>
    </row>
    <row r="72" spans="2:9" s="46" customFormat="1" ht="20.25" x14ac:dyDescent="0.3">
      <c r="B72" s="59">
        <v>63</v>
      </c>
      <c r="C72" s="94" t="s">
        <v>369</v>
      </c>
      <c r="D72" s="94" t="s">
        <v>325</v>
      </c>
      <c r="E72" s="55" t="s">
        <v>46</v>
      </c>
      <c r="F72" s="55" t="s">
        <v>47</v>
      </c>
      <c r="G72" s="49">
        <v>97</v>
      </c>
      <c r="H72" s="49">
        <v>2289.1999999999998</v>
      </c>
      <c r="I72" s="56"/>
    </row>
    <row r="73" spans="2:9" s="46" customFormat="1" ht="20.25" x14ac:dyDescent="0.3">
      <c r="B73" s="59">
        <v>64</v>
      </c>
      <c r="C73" s="94">
        <v>43252</v>
      </c>
      <c r="D73" s="94">
        <v>43253</v>
      </c>
      <c r="E73" s="55" t="s">
        <v>46</v>
      </c>
      <c r="F73" s="55" t="s">
        <v>385</v>
      </c>
      <c r="G73" s="49">
        <v>100</v>
      </c>
      <c r="H73" s="49">
        <v>348.1</v>
      </c>
      <c r="I73" s="56"/>
    </row>
    <row r="74" spans="2:9" s="46" customFormat="1" ht="20.25" x14ac:dyDescent="0.3">
      <c r="B74" s="59">
        <v>65</v>
      </c>
      <c r="C74" s="94">
        <v>43252</v>
      </c>
      <c r="D74" s="94">
        <v>43253</v>
      </c>
      <c r="E74" s="55" t="s">
        <v>48</v>
      </c>
      <c r="F74" s="55" t="s">
        <v>49</v>
      </c>
      <c r="G74" s="49">
        <v>25</v>
      </c>
      <c r="H74" s="49">
        <v>6107.7464788732404</v>
      </c>
      <c r="I74" s="56"/>
    </row>
    <row r="75" spans="2:9" s="46" customFormat="1" ht="20.25" x14ac:dyDescent="0.3">
      <c r="B75" s="59">
        <v>66</v>
      </c>
      <c r="C75" s="94" t="s">
        <v>369</v>
      </c>
      <c r="D75" s="94" t="s">
        <v>325</v>
      </c>
      <c r="E75" s="55" t="s">
        <v>50</v>
      </c>
      <c r="F75" s="55" t="s">
        <v>261</v>
      </c>
      <c r="G75" s="49">
        <v>1485</v>
      </c>
      <c r="H75" s="49">
        <v>11137.5</v>
      </c>
      <c r="I75" s="56"/>
    </row>
    <row r="76" spans="2:9" s="46" customFormat="1" ht="20.25" x14ac:dyDescent="0.3">
      <c r="B76" s="59">
        <v>67</v>
      </c>
      <c r="C76" s="94" t="s">
        <v>369</v>
      </c>
      <c r="D76" s="94" t="s">
        <v>325</v>
      </c>
      <c r="E76" s="55" t="s">
        <v>50</v>
      </c>
      <c r="F76" s="55" t="s">
        <v>51</v>
      </c>
      <c r="G76" s="49">
        <v>24</v>
      </c>
      <c r="H76" s="49">
        <v>225.14400000000001</v>
      </c>
      <c r="I76" s="56"/>
    </row>
    <row r="77" spans="2:9" s="46" customFormat="1" ht="20.25" x14ac:dyDescent="0.3">
      <c r="B77" s="59">
        <v>68</v>
      </c>
      <c r="C77" s="94" t="s">
        <v>369</v>
      </c>
      <c r="D77" s="94" t="s">
        <v>325</v>
      </c>
      <c r="E77" s="55" t="s">
        <v>52</v>
      </c>
      <c r="F77" s="55" t="s">
        <v>53</v>
      </c>
      <c r="G77" s="49">
        <v>3</v>
      </c>
      <c r="H77" s="49">
        <v>1101.3333333333301</v>
      </c>
    </row>
    <row r="78" spans="2:9" s="50" customFormat="1" ht="20.25" x14ac:dyDescent="0.3">
      <c r="B78" s="59">
        <v>69</v>
      </c>
      <c r="C78" s="96">
        <v>45037</v>
      </c>
      <c r="D78" s="94">
        <v>43319</v>
      </c>
      <c r="E78" s="72" t="s">
        <v>239</v>
      </c>
      <c r="F78" s="72" t="s">
        <v>516</v>
      </c>
      <c r="G78" s="73">
        <v>6</v>
      </c>
      <c r="H78" s="73">
        <v>1982.4</v>
      </c>
    </row>
    <row r="79" spans="2:9" s="46" customFormat="1" ht="20.25" x14ac:dyDescent="0.3">
      <c r="B79" s="59">
        <v>70</v>
      </c>
      <c r="C79" s="94">
        <v>43252</v>
      </c>
      <c r="D79" s="94">
        <v>43254</v>
      </c>
      <c r="E79" s="55" t="s">
        <v>54</v>
      </c>
      <c r="F79" s="55" t="s">
        <v>55</v>
      </c>
      <c r="G79" s="49">
        <v>6</v>
      </c>
      <c r="H79" s="49">
        <v>8496</v>
      </c>
    </row>
    <row r="80" spans="2:9" s="46" customFormat="1" ht="20.25" x14ac:dyDescent="0.3">
      <c r="B80" s="59">
        <v>71</v>
      </c>
      <c r="C80" s="94">
        <v>43252</v>
      </c>
      <c r="D80" s="94">
        <v>43254</v>
      </c>
      <c r="E80" s="55" t="s">
        <v>56</v>
      </c>
      <c r="F80" s="55" t="s">
        <v>57</v>
      </c>
      <c r="G80" s="49">
        <v>16</v>
      </c>
      <c r="H80" s="49">
        <v>2039.04</v>
      </c>
    </row>
    <row r="81" spans="2:8" s="46" customFormat="1" ht="20.25" x14ac:dyDescent="0.3">
      <c r="B81" s="59">
        <v>72</v>
      </c>
      <c r="C81" s="94">
        <v>43318</v>
      </c>
      <c r="D81" s="94">
        <v>43319</v>
      </c>
      <c r="E81" s="55" t="s">
        <v>62</v>
      </c>
      <c r="F81" s="55" t="s">
        <v>63</v>
      </c>
      <c r="G81" s="49">
        <v>3</v>
      </c>
      <c r="H81" s="49">
        <v>12036</v>
      </c>
    </row>
    <row r="82" spans="2:8" s="46" customFormat="1" ht="20.25" x14ac:dyDescent="0.3">
      <c r="B82" s="59">
        <v>73</v>
      </c>
      <c r="C82" s="94">
        <v>43609</v>
      </c>
      <c r="D82" s="94">
        <v>43612</v>
      </c>
      <c r="E82" s="55" t="s">
        <v>215</v>
      </c>
      <c r="F82" s="55" t="s">
        <v>216</v>
      </c>
      <c r="G82" s="49">
        <v>24</v>
      </c>
      <c r="H82" s="49">
        <v>226.56</v>
      </c>
    </row>
    <row r="83" spans="2:8" s="46" customFormat="1" ht="20.25" x14ac:dyDescent="0.3">
      <c r="B83" s="59">
        <v>74</v>
      </c>
      <c r="C83" s="94">
        <v>43252</v>
      </c>
      <c r="D83" s="94">
        <v>43254</v>
      </c>
      <c r="E83" s="55" t="s">
        <v>67</v>
      </c>
      <c r="F83" s="55" t="s">
        <v>68</v>
      </c>
      <c r="G83" s="49">
        <v>190</v>
      </c>
      <c r="H83" s="49">
        <v>1457.3</v>
      </c>
    </row>
    <row r="84" spans="2:8" s="46" customFormat="1" ht="20.25" x14ac:dyDescent="0.3">
      <c r="B84" s="59">
        <v>75</v>
      </c>
      <c r="C84" s="94">
        <v>43830</v>
      </c>
      <c r="D84" s="94">
        <v>43494</v>
      </c>
      <c r="E84" s="55" t="s">
        <v>69</v>
      </c>
      <c r="F84" s="55" t="s">
        <v>70</v>
      </c>
      <c r="G84" s="49">
        <v>1783</v>
      </c>
      <c r="H84" s="49">
        <v>2650.9643999999998</v>
      </c>
    </row>
    <row r="85" spans="2:8" s="46" customFormat="1" ht="20.25" x14ac:dyDescent="0.3">
      <c r="B85" s="59">
        <v>76</v>
      </c>
      <c r="C85" s="94">
        <v>43830</v>
      </c>
      <c r="D85" s="94">
        <v>43859</v>
      </c>
      <c r="E85" s="55" t="s">
        <v>69</v>
      </c>
      <c r="F85" s="55" t="s">
        <v>70</v>
      </c>
      <c r="G85" s="49">
        <v>1098</v>
      </c>
      <c r="H85" s="49">
        <v>323.91000000000003</v>
      </c>
    </row>
    <row r="86" spans="2:8" s="46" customFormat="1" ht="20.25" x14ac:dyDescent="0.3">
      <c r="B86" s="59">
        <v>77</v>
      </c>
      <c r="C86" s="96">
        <v>45036</v>
      </c>
      <c r="D86" s="94">
        <v>43612</v>
      </c>
      <c r="E86" s="72" t="s">
        <v>73</v>
      </c>
      <c r="F86" s="72" t="s">
        <v>72</v>
      </c>
      <c r="G86" s="73">
        <v>10</v>
      </c>
      <c r="H86" s="73">
        <v>80</v>
      </c>
    </row>
    <row r="87" spans="2:8" s="46" customFormat="1" ht="20.25" x14ac:dyDescent="0.3">
      <c r="B87" s="59">
        <v>78</v>
      </c>
      <c r="C87" s="94">
        <v>43609</v>
      </c>
      <c r="D87" s="94">
        <v>43612</v>
      </c>
      <c r="E87" s="55" t="s">
        <v>71</v>
      </c>
      <c r="F87" s="55" t="s">
        <v>72</v>
      </c>
      <c r="G87" s="49">
        <v>119</v>
      </c>
      <c r="H87" s="49">
        <v>11600</v>
      </c>
    </row>
    <row r="88" spans="2:8" s="46" customFormat="1" ht="20.25" x14ac:dyDescent="0.3">
      <c r="B88" s="59">
        <v>79</v>
      </c>
      <c r="C88" s="94">
        <v>43609</v>
      </c>
      <c r="D88" s="94">
        <v>43612</v>
      </c>
      <c r="E88" s="55" t="s">
        <v>73</v>
      </c>
      <c r="F88" s="55" t="s">
        <v>74</v>
      </c>
      <c r="G88" s="49">
        <v>24</v>
      </c>
      <c r="H88" s="49">
        <v>300</v>
      </c>
    </row>
    <row r="89" spans="2:8" s="46" customFormat="1" ht="20.25" x14ac:dyDescent="0.3">
      <c r="B89" s="59">
        <v>80</v>
      </c>
      <c r="C89" s="94" t="s">
        <v>369</v>
      </c>
      <c r="D89" s="94" t="s">
        <v>325</v>
      </c>
      <c r="E89" s="55" t="s">
        <v>73</v>
      </c>
      <c r="F89" s="55" t="s">
        <v>370</v>
      </c>
      <c r="G89" s="49">
        <v>5</v>
      </c>
      <c r="H89" s="49">
        <v>31.25</v>
      </c>
    </row>
    <row r="90" spans="2:8" s="46" customFormat="1" ht="20.25" x14ac:dyDescent="0.3">
      <c r="B90" s="59">
        <v>81</v>
      </c>
      <c r="C90" s="94">
        <v>43318</v>
      </c>
      <c r="D90" s="94">
        <v>43319</v>
      </c>
      <c r="E90" s="55" t="s">
        <v>75</v>
      </c>
      <c r="F90" s="55" t="s">
        <v>76</v>
      </c>
      <c r="G90" s="49">
        <v>1</v>
      </c>
      <c r="H90" s="49">
        <v>17.7</v>
      </c>
    </row>
    <row r="91" spans="2:8" s="46" customFormat="1" ht="20.25" x14ac:dyDescent="0.3">
      <c r="B91" s="59">
        <v>82</v>
      </c>
      <c r="C91" s="94">
        <v>43609</v>
      </c>
      <c r="D91" s="94">
        <v>43612</v>
      </c>
      <c r="E91" s="55" t="s">
        <v>75</v>
      </c>
      <c r="F91" s="55" t="s">
        <v>76</v>
      </c>
      <c r="G91" s="49">
        <v>15</v>
      </c>
      <c r="H91" s="49">
        <v>200</v>
      </c>
    </row>
    <row r="92" spans="2:8" s="46" customFormat="1" ht="20.25" x14ac:dyDescent="0.3">
      <c r="B92" s="59">
        <v>83</v>
      </c>
      <c r="C92" s="94">
        <v>43609</v>
      </c>
      <c r="D92" s="94">
        <v>43612</v>
      </c>
      <c r="E92" s="55" t="s">
        <v>77</v>
      </c>
      <c r="F92" s="55" t="s">
        <v>78</v>
      </c>
      <c r="G92" s="49">
        <v>522</v>
      </c>
      <c r="H92" s="49">
        <v>1250</v>
      </c>
    </row>
    <row r="93" spans="2:8" s="50" customFormat="1" ht="20.25" x14ac:dyDescent="0.3">
      <c r="B93" s="59">
        <v>84</v>
      </c>
      <c r="C93" s="96">
        <v>45036</v>
      </c>
      <c r="D93" s="94" t="s">
        <v>325</v>
      </c>
      <c r="E93" s="72" t="s">
        <v>372</v>
      </c>
      <c r="F93" s="72" t="s">
        <v>525</v>
      </c>
      <c r="G93" s="73">
        <v>6</v>
      </c>
      <c r="H93" s="73">
        <v>420</v>
      </c>
    </row>
    <row r="94" spans="2:8" s="46" customFormat="1" ht="20.25" x14ac:dyDescent="0.3">
      <c r="B94" s="59">
        <v>85</v>
      </c>
      <c r="C94" s="94" t="s">
        <v>369</v>
      </c>
      <c r="D94" s="94" t="s">
        <v>325</v>
      </c>
      <c r="E94" s="55" t="s">
        <v>254</v>
      </c>
      <c r="F94" s="55" t="s">
        <v>255</v>
      </c>
      <c r="G94" s="49">
        <v>159</v>
      </c>
      <c r="H94" s="49">
        <v>34615.89</v>
      </c>
    </row>
    <row r="95" spans="2:8" s="46" customFormat="1" ht="20.25" x14ac:dyDescent="0.3">
      <c r="B95" s="59">
        <v>86</v>
      </c>
      <c r="C95" s="94">
        <v>44162</v>
      </c>
      <c r="D95" s="94" t="s">
        <v>325</v>
      </c>
      <c r="E95" s="55" t="s">
        <v>79</v>
      </c>
      <c r="F95" s="55" t="s">
        <v>80</v>
      </c>
      <c r="G95" s="49">
        <v>22</v>
      </c>
      <c r="H95" s="49">
        <v>908.6</v>
      </c>
    </row>
    <row r="96" spans="2:8" s="46" customFormat="1" ht="20.25" x14ac:dyDescent="0.3">
      <c r="B96" s="59">
        <v>87</v>
      </c>
      <c r="C96" s="94">
        <v>43609</v>
      </c>
      <c r="D96" s="94">
        <v>43612</v>
      </c>
      <c r="E96" s="55" t="s">
        <v>81</v>
      </c>
      <c r="F96" s="55" t="s">
        <v>82</v>
      </c>
      <c r="G96" s="49">
        <v>52</v>
      </c>
      <c r="H96" s="49">
        <v>1104.48</v>
      </c>
    </row>
    <row r="97" spans="2:8" s="46" customFormat="1" ht="20.25" x14ac:dyDescent="0.3">
      <c r="B97" s="59">
        <v>88</v>
      </c>
      <c r="C97" s="94">
        <v>43830</v>
      </c>
      <c r="D97" s="94">
        <v>43494</v>
      </c>
      <c r="E97" s="55" t="s">
        <v>224</v>
      </c>
      <c r="F97" s="55" t="s">
        <v>225</v>
      </c>
      <c r="G97" s="49">
        <v>1</v>
      </c>
      <c r="H97" s="49">
        <v>500</v>
      </c>
    </row>
    <row r="98" spans="2:8" s="46" customFormat="1" ht="20.25" x14ac:dyDescent="0.3">
      <c r="B98" s="59">
        <v>89</v>
      </c>
      <c r="C98" s="94">
        <v>43657</v>
      </c>
      <c r="D98" s="94">
        <v>43677</v>
      </c>
      <c r="E98" s="55" t="s">
        <v>224</v>
      </c>
      <c r="F98" s="55" t="s">
        <v>225</v>
      </c>
      <c r="G98" s="49">
        <v>13</v>
      </c>
      <c r="H98" s="49">
        <v>7748</v>
      </c>
    </row>
    <row r="99" spans="2:8" s="46" customFormat="1" ht="20.25" x14ac:dyDescent="0.3">
      <c r="B99" s="59">
        <v>90</v>
      </c>
      <c r="C99" s="94">
        <v>43318</v>
      </c>
      <c r="D99" s="94">
        <v>43319</v>
      </c>
      <c r="E99" s="55" t="s">
        <v>83</v>
      </c>
      <c r="F99" s="55" t="s">
        <v>84</v>
      </c>
      <c r="G99" s="49">
        <v>23</v>
      </c>
      <c r="H99" s="49">
        <v>5428</v>
      </c>
    </row>
    <row r="100" spans="2:8" s="46" customFormat="1" ht="20.25" x14ac:dyDescent="0.3">
      <c r="B100" s="59">
        <v>91</v>
      </c>
      <c r="C100" s="94">
        <v>43318</v>
      </c>
      <c r="D100" s="94">
        <v>43319</v>
      </c>
      <c r="E100" s="55" t="s">
        <v>192</v>
      </c>
      <c r="F100" s="55" t="s">
        <v>193</v>
      </c>
      <c r="G100" s="49">
        <v>12</v>
      </c>
      <c r="H100" s="49">
        <v>1628.5416</v>
      </c>
    </row>
    <row r="101" spans="2:8" s="46" customFormat="1" ht="20.25" x14ac:dyDescent="0.3">
      <c r="B101" s="59">
        <v>92</v>
      </c>
      <c r="C101" s="94">
        <v>43609</v>
      </c>
      <c r="D101" s="94">
        <v>43612</v>
      </c>
      <c r="E101" s="55" t="s">
        <v>87</v>
      </c>
      <c r="F101" s="55" t="s">
        <v>88</v>
      </c>
      <c r="G101" s="49">
        <v>11</v>
      </c>
      <c r="H101" s="49">
        <v>1298</v>
      </c>
    </row>
    <row r="102" spans="2:8" s="46" customFormat="1" ht="20.25" x14ac:dyDescent="0.3">
      <c r="B102" s="59">
        <v>93</v>
      </c>
      <c r="C102" s="94">
        <v>43318</v>
      </c>
      <c r="D102" s="94">
        <v>43319</v>
      </c>
      <c r="E102" s="55" t="s">
        <v>83</v>
      </c>
      <c r="F102" s="55" t="s">
        <v>194</v>
      </c>
      <c r="G102" s="49">
        <v>1</v>
      </c>
      <c r="H102" s="49">
        <v>112.1</v>
      </c>
    </row>
    <row r="103" spans="2:8" s="46" customFormat="1" ht="20.25" x14ac:dyDescent="0.3">
      <c r="B103" s="59">
        <v>94</v>
      </c>
      <c r="C103" s="94">
        <v>43318</v>
      </c>
      <c r="D103" s="94">
        <v>43319</v>
      </c>
      <c r="E103" s="55" t="s">
        <v>85</v>
      </c>
      <c r="F103" s="55" t="s">
        <v>89</v>
      </c>
      <c r="G103" s="49">
        <v>9</v>
      </c>
      <c r="H103" s="49">
        <v>2124</v>
      </c>
    </row>
    <row r="104" spans="2:8" s="46" customFormat="1" ht="20.25" x14ac:dyDescent="0.3">
      <c r="B104" s="59">
        <v>95</v>
      </c>
      <c r="C104" s="94">
        <v>44014</v>
      </c>
      <c r="D104" s="94">
        <v>44033</v>
      </c>
      <c r="E104" s="55" t="s">
        <v>219</v>
      </c>
      <c r="F104" s="55" t="s">
        <v>220</v>
      </c>
      <c r="G104" s="49">
        <v>4</v>
      </c>
      <c r="H104" s="49">
        <v>448.4</v>
      </c>
    </row>
    <row r="105" spans="2:8" s="46" customFormat="1" ht="20.25" x14ac:dyDescent="0.3">
      <c r="B105" s="59">
        <v>96</v>
      </c>
      <c r="C105" s="94">
        <v>43318</v>
      </c>
      <c r="D105" s="94">
        <v>43319</v>
      </c>
      <c r="E105" s="55" t="s">
        <v>83</v>
      </c>
      <c r="F105" s="55" t="s">
        <v>195</v>
      </c>
      <c r="G105" s="49">
        <v>15</v>
      </c>
      <c r="H105" s="49">
        <v>2301</v>
      </c>
    </row>
    <row r="106" spans="2:8" s="46" customFormat="1" ht="20.25" x14ac:dyDescent="0.3">
      <c r="B106" s="59">
        <v>97</v>
      </c>
      <c r="C106" s="94">
        <v>43609</v>
      </c>
      <c r="D106" s="94">
        <v>43612</v>
      </c>
      <c r="E106" s="55" t="s">
        <v>192</v>
      </c>
      <c r="F106" s="55" t="s">
        <v>221</v>
      </c>
      <c r="G106" s="49">
        <v>10</v>
      </c>
      <c r="H106" s="49">
        <v>1770</v>
      </c>
    </row>
    <row r="107" spans="2:8" s="46" customFormat="1" ht="20.25" x14ac:dyDescent="0.3">
      <c r="B107" s="59">
        <v>98</v>
      </c>
      <c r="C107" s="94">
        <v>43609</v>
      </c>
      <c r="D107" s="94">
        <v>43612</v>
      </c>
      <c r="E107" s="55" t="s">
        <v>83</v>
      </c>
      <c r="F107" s="55" t="s">
        <v>196</v>
      </c>
      <c r="G107" s="49">
        <v>22</v>
      </c>
      <c r="H107" s="49">
        <v>3115.2</v>
      </c>
    </row>
    <row r="108" spans="2:8" s="46" customFormat="1" ht="20.25" x14ac:dyDescent="0.3">
      <c r="B108" s="59">
        <v>99</v>
      </c>
      <c r="C108" s="94" t="s">
        <v>369</v>
      </c>
      <c r="D108" s="94" t="s">
        <v>325</v>
      </c>
      <c r="E108" s="55" t="s">
        <v>197</v>
      </c>
      <c r="F108" s="55" t="s">
        <v>198</v>
      </c>
      <c r="G108" s="49">
        <v>7</v>
      </c>
      <c r="H108" s="49">
        <v>5782</v>
      </c>
    </row>
    <row r="109" spans="2:8" s="50" customFormat="1" ht="20.25" x14ac:dyDescent="0.3">
      <c r="B109" s="59">
        <v>100</v>
      </c>
      <c r="C109" s="96">
        <v>45036</v>
      </c>
      <c r="D109" s="94">
        <f>+C109</f>
        <v>45036</v>
      </c>
      <c r="E109" s="72" t="s">
        <v>233</v>
      </c>
      <c r="F109" s="72" t="s">
        <v>198</v>
      </c>
      <c r="G109" s="73">
        <v>12</v>
      </c>
      <c r="H109" s="73">
        <v>8850</v>
      </c>
    </row>
    <row r="110" spans="2:8" s="50" customFormat="1" ht="20.25" x14ac:dyDescent="0.3">
      <c r="B110" s="59">
        <v>101</v>
      </c>
      <c r="C110" s="96">
        <v>45036</v>
      </c>
      <c r="D110" s="94">
        <f>+C110</f>
        <v>45036</v>
      </c>
      <c r="E110" s="72" t="s">
        <v>518</v>
      </c>
      <c r="F110" s="72" t="s">
        <v>519</v>
      </c>
      <c r="G110" s="73">
        <v>6</v>
      </c>
      <c r="H110" s="73">
        <v>283.2</v>
      </c>
    </row>
    <row r="111" spans="2:8" s="46" customFormat="1" ht="20.25" x14ac:dyDescent="0.3">
      <c r="B111" s="59">
        <v>102</v>
      </c>
      <c r="C111" s="94">
        <v>43252</v>
      </c>
      <c r="D111" s="94">
        <v>43252</v>
      </c>
      <c r="E111" s="55" t="s">
        <v>90</v>
      </c>
      <c r="F111" s="55" t="s">
        <v>91</v>
      </c>
      <c r="G111" s="49">
        <v>1</v>
      </c>
      <c r="H111" s="49">
        <v>1851.42</v>
      </c>
    </row>
    <row r="112" spans="2:8" s="50" customFormat="1" ht="20.25" x14ac:dyDescent="0.3">
      <c r="B112" s="59">
        <v>103</v>
      </c>
      <c r="C112" s="96" t="s">
        <v>324</v>
      </c>
      <c r="D112" s="94" t="s">
        <v>325</v>
      </c>
      <c r="E112" s="72" t="s">
        <v>517</v>
      </c>
      <c r="F112" s="72" t="s">
        <v>532</v>
      </c>
      <c r="G112" s="73">
        <v>2</v>
      </c>
      <c r="H112" s="73">
        <v>5900</v>
      </c>
    </row>
    <row r="113" spans="2:8" s="50" customFormat="1" ht="20.25" x14ac:dyDescent="0.3">
      <c r="B113" s="59">
        <v>104</v>
      </c>
      <c r="C113" s="96">
        <v>45090</v>
      </c>
      <c r="D113" s="94">
        <f>+C113</f>
        <v>45090</v>
      </c>
      <c r="E113" s="72" t="s">
        <v>540</v>
      </c>
      <c r="F113" s="72" t="s">
        <v>521</v>
      </c>
      <c r="G113" s="73">
        <v>4</v>
      </c>
      <c r="H113" s="73">
        <v>6018</v>
      </c>
    </row>
    <row r="114" spans="2:8" s="50" customFormat="1" ht="20.25" x14ac:dyDescent="0.3">
      <c r="B114" s="59">
        <v>105</v>
      </c>
      <c r="C114" s="96">
        <v>45036</v>
      </c>
      <c r="D114" s="94">
        <f>+C114</f>
        <v>45036</v>
      </c>
      <c r="E114" s="72" t="s">
        <v>92</v>
      </c>
      <c r="F114" s="72" t="s">
        <v>522</v>
      </c>
      <c r="G114" s="73">
        <v>10</v>
      </c>
      <c r="H114" s="73">
        <v>826</v>
      </c>
    </row>
    <row r="115" spans="2:8" s="50" customFormat="1" ht="20.25" x14ac:dyDescent="0.3">
      <c r="B115" s="59">
        <v>106</v>
      </c>
      <c r="C115" s="96">
        <v>45036</v>
      </c>
      <c r="D115" s="94">
        <f>+C115</f>
        <v>45036</v>
      </c>
      <c r="E115" s="72" t="s">
        <v>523</v>
      </c>
      <c r="F115" s="72" t="s">
        <v>524</v>
      </c>
      <c r="G115" s="73">
        <v>6</v>
      </c>
      <c r="H115" s="73">
        <v>94.4</v>
      </c>
    </row>
    <row r="116" spans="2:8" s="50" customFormat="1" ht="20.25" x14ac:dyDescent="0.3">
      <c r="B116" s="59">
        <v>107</v>
      </c>
      <c r="C116" s="96">
        <v>45036</v>
      </c>
      <c r="D116" s="94">
        <v>43253</v>
      </c>
      <c r="E116" s="72" t="s">
        <v>93</v>
      </c>
      <c r="F116" s="72" t="s">
        <v>530</v>
      </c>
      <c r="G116" s="73">
        <v>2</v>
      </c>
      <c r="H116" s="73">
        <v>1534</v>
      </c>
    </row>
    <row r="117" spans="2:8" s="46" customFormat="1" ht="20.25" x14ac:dyDescent="0.3">
      <c r="B117" s="59">
        <v>108</v>
      </c>
      <c r="C117" s="94">
        <v>43252</v>
      </c>
      <c r="D117" s="94">
        <v>43253</v>
      </c>
      <c r="E117" s="55" t="s">
        <v>97</v>
      </c>
      <c r="F117" s="55" t="s">
        <v>98</v>
      </c>
      <c r="G117" s="49">
        <v>1</v>
      </c>
      <c r="H117" s="49">
        <v>973.5</v>
      </c>
    </row>
    <row r="118" spans="2:8" s="50" customFormat="1" ht="20.25" x14ac:dyDescent="0.3">
      <c r="B118" s="59">
        <v>109</v>
      </c>
      <c r="C118" s="96">
        <v>45036</v>
      </c>
      <c r="D118" s="94">
        <v>44187</v>
      </c>
      <c r="E118" s="72" t="s">
        <v>533</v>
      </c>
      <c r="F118" s="72" t="s">
        <v>420</v>
      </c>
      <c r="G118" s="73">
        <v>24</v>
      </c>
      <c r="H118" s="73">
        <v>1180</v>
      </c>
    </row>
    <row r="119" spans="2:8" s="50" customFormat="1" ht="20.25" x14ac:dyDescent="0.3">
      <c r="B119" s="59">
        <v>110</v>
      </c>
      <c r="C119" s="96">
        <v>45036</v>
      </c>
      <c r="D119" s="94">
        <v>44187</v>
      </c>
      <c r="E119" s="72" t="s">
        <v>417</v>
      </c>
      <c r="F119" s="72" t="s">
        <v>419</v>
      </c>
      <c r="G119" s="73">
        <v>10</v>
      </c>
      <c r="H119" s="73">
        <v>590</v>
      </c>
    </row>
    <row r="120" spans="2:8" s="50" customFormat="1" ht="20.25" x14ac:dyDescent="0.3">
      <c r="B120" s="59">
        <v>111</v>
      </c>
      <c r="C120" s="96">
        <v>45036</v>
      </c>
      <c r="D120" s="94">
        <v>44187</v>
      </c>
      <c r="E120" s="72" t="s">
        <v>534</v>
      </c>
      <c r="F120" s="72" t="s">
        <v>419</v>
      </c>
      <c r="G120" s="73">
        <v>24</v>
      </c>
      <c r="H120" s="73">
        <v>1416</v>
      </c>
    </row>
    <row r="121" spans="2:8" s="46" customFormat="1" ht="20.25" x14ac:dyDescent="0.3">
      <c r="B121" s="59">
        <v>112</v>
      </c>
      <c r="C121" s="94">
        <v>44162</v>
      </c>
      <c r="D121" s="94">
        <v>44187</v>
      </c>
      <c r="E121" s="55" t="s">
        <v>222</v>
      </c>
      <c r="F121" s="55" t="s">
        <v>223</v>
      </c>
      <c r="G121" s="49">
        <v>7</v>
      </c>
      <c r="H121" s="49">
        <v>1239</v>
      </c>
    </row>
    <row r="122" spans="2:8" s="50" customFormat="1" ht="20.25" x14ac:dyDescent="0.3">
      <c r="B122" s="59">
        <v>113</v>
      </c>
      <c r="C122" s="96">
        <v>45036</v>
      </c>
      <c r="D122" s="94">
        <v>43253</v>
      </c>
      <c r="E122" s="72" t="s">
        <v>535</v>
      </c>
      <c r="F122" s="72" t="s">
        <v>520</v>
      </c>
      <c r="G122" s="73">
        <v>6</v>
      </c>
      <c r="H122" s="73">
        <v>708</v>
      </c>
    </row>
    <row r="123" spans="2:8" s="46" customFormat="1" ht="20.25" x14ac:dyDescent="0.3">
      <c r="B123" s="59">
        <v>114</v>
      </c>
      <c r="C123" s="94">
        <v>43830</v>
      </c>
      <c r="D123" s="94">
        <v>43859</v>
      </c>
      <c r="E123" s="55" t="s">
        <v>237</v>
      </c>
      <c r="F123" s="55" t="s">
        <v>427</v>
      </c>
      <c r="G123" s="49">
        <v>2</v>
      </c>
      <c r="H123" s="49">
        <v>200.6</v>
      </c>
    </row>
    <row r="124" spans="2:8" s="50" customFormat="1" ht="20.25" x14ac:dyDescent="0.3">
      <c r="B124" s="59">
        <v>115</v>
      </c>
      <c r="C124" s="96">
        <v>45036</v>
      </c>
      <c r="D124" s="94">
        <v>44187</v>
      </c>
      <c r="E124" s="72" t="s">
        <v>536</v>
      </c>
      <c r="F124" s="72" t="s">
        <v>100</v>
      </c>
      <c r="G124" s="73">
        <v>6</v>
      </c>
      <c r="H124" s="73">
        <v>2548.8000000000002</v>
      </c>
    </row>
    <row r="125" spans="2:8" s="46" customFormat="1" ht="20.25" x14ac:dyDescent="0.3">
      <c r="B125" s="59">
        <v>116</v>
      </c>
      <c r="C125" s="94">
        <v>43830</v>
      </c>
      <c r="D125" s="94">
        <v>43859</v>
      </c>
      <c r="E125" s="55" t="s">
        <v>101</v>
      </c>
      <c r="F125" s="55" t="s">
        <v>102</v>
      </c>
      <c r="G125" s="49">
        <v>3</v>
      </c>
      <c r="H125" s="49">
        <v>279.66000000000003</v>
      </c>
    </row>
    <row r="126" spans="2:8" s="46" customFormat="1" ht="20.25" x14ac:dyDescent="0.3">
      <c r="B126" s="59">
        <v>117</v>
      </c>
      <c r="C126" s="94">
        <v>44162</v>
      </c>
      <c r="D126" s="94">
        <v>44187</v>
      </c>
      <c r="E126" s="55" t="s">
        <v>103</v>
      </c>
      <c r="F126" s="55" t="s">
        <v>104</v>
      </c>
      <c r="G126" s="49">
        <v>70</v>
      </c>
      <c r="H126" s="49">
        <v>22549.8</v>
      </c>
    </row>
    <row r="127" spans="2:8" s="46" customFormat="1" ht="20.25" x14ac:dyDescent="0.3">
      <c r="B127" s="59">
        <v>118</v>
      </c>
      <c r="C127" s="94">
        <v>43609</v>
      </c>
      <c r="D127" s="94">
        <v>43612</v>
      </c>
      <c r="E127" s="55" t="s">
        <v>111</v>
      </c>
      <c r="F127" s="55" t="s">
        <v>246</v>
      </c>
      <c r="G127" s="49">
        <v>13</v>
      </c>
      <c r="H127" s="49">
        <v>383.5</v>
      </c>
    </row>
    <row r="128" spans="2:8" s="46" customFormat="1" ht="20.25" x14ac:dyDescent="0.3">
      <c r="B128" s="59">
        <v>119</v>
      </c>
      <c r="C128" s="94">
        <v>43609</v>
      </c>
      <c r="D128" s="94">
        <v>43612</v>
      </c>
      <c r="E128" s="55" t="s">
        <v>109</v>
      </c>
      <c r="F128" s="55" t="s">
        <v>266</v>
      </c>
      <c r="G128" s="49">
        <v>24</v>
      </c>
      <c r="H128" s="49">
        <v>1800</v>
      </c>
    </row>
    <row r="129" spans="2:8" s="46" customFormat="1" ht="20.25" x14ac:dyDescent="0.3">
      <c r="B129" s="59">
        <v>120</v>
      </c>
      <c r="C129" s="94">
        <v>43609</v>
      </c>
      <c r="D129" s="94">
        <v>43612</v>
      </c>
      <c r="E129" s="55" t="s">
        <v>105</v>
      </c>
      <c r="F129" s="55" t="s">
        <v>106</v>
      </c>
      <c r="G129" s="49">
        <v>1</v>
      </c>
      <c r="H129" s="49">
        <v>65.489999999999995</v>
      </c>
    </row>
    <row r="130" spans="2:8" s="46" customFormat="1" ht="20.25" x14ac:dyDescent="0.3">
      <c r="B130" s="59">
        <v>121</v>
      </c>
      <c r="C130" s="94">
        <v>43830</v>
      </c>
      <c r="D130" s="94">
        <v>43859</v>
      </c>
      <c r="E130" s="55" t="s">
        <v>107</v>
      </c>
      <c r="F130" s="55" t="s">
        <v>387</v>
      </c>
      <c r="G130" s="49">
        <v>54</v>
      </c>
      <c r="H130" s="49">
        <v>7009.2</v>
      </c>
    </row>
    <row r="131" spans="2:8" s="46" customFormat="1" ht="20.25" x14ac:dyDescent="0.3">
      <c r="B131" s="59">
        <v>122</v>
      </c>
      <c r="C131" s="94">
        <v>43609</v>
      </c>
      <c r="D131" s="94">
        <v>43612</v>
      </c>
      <c r="E131" s="55" t="s">
        <v>107</v>
      </c>
      <c r="F131" s="55" t="s">
        <v>108</v>
      </c>
      <c r="G131" s="49">
        <v>21</v>
      </c>
      <c r="H131" s="49">
        <v>4956</v>
      </c>
    </row>
    <row r="132" spans="2:8" s="46" customFormat="1" ht="20.25" x14ac:dyDescent="0.3">
      <c r="B132" s="59">
        <v>123</v>
      </c>
      <c r="C132" s="94">
        <v>44162</v>
      </c>
      <c r="D132" s="94">
        <v>44187</v>
      </c>
      <c r="E132" s="55" t="s">
        <v>109</v>
      </c>
      <c r="F132" s="55" t="s">
        <v>245</v>
      </c>
      <c r="G132" s="49">
        <v>60</v>
      </c>
      <c r="H132" s="49">
        <v>1770</v>
      </c>
    </row>
    <row r="133" spans="2:8" s="46" customFormat="1" ht="20.25" x14ac:dyDescent="0.3">
      <c r="B133" s="59">
        <v>124</v>
      </c>
      <c r="C133" s="94">
        <v>43252</v>
      </c>
      <c r="D133" s="94">
        <v>43254</v>
      </c>
      <c r="E133" s="55" t="s">
        <v>109</v>
      </c>
      <c r="F133" s="55" t="s">
        <v>110</v>
      </c>
      <c r="G133" s="49">
        <v>2</v>
      </c>
      <c r="H133" s="49">
        <v>885</v>
      </c>
    </row>
    <row r="134" spans="2:8" s="46" customFormat="1" ht="20.25" x14ac:dyDescent="0.3">
      <c r="B134" s="59">
        <v>125</v>
      </c>
      <c r="C134" s="94">
        <v>43609</v>
      </c>
      <c r="D134" s="94">
        <v>43612</v>
      </c>
      <c r="E134" s="55" t="s">
        <v>109</v>
      </c>
      <c r="F134" s="55" t="s">
        <v>228</v>
      </c>
      <c r="G134" s="49">
        <v>44</v>
      </c>
      <c r="H134" s="49">
        <v>10384</v>
      </c>
    </row>
    <row r="135" spans="2:8" s="46" customFormat="1" ht="20.25" x14ac:dyDescent="0.3">
      <c r="B135" s="59">
        <v>126</v>
      </c>
      <c r="C135" s="94">
        <v>44162</v>
      </c>
      <c r="D135" s="94">
        <v>44187</v>
      </c>
      <c r="E135" s="55" t="s">
        <v>112</v>
      </c>
      <c r="F135" s="55" t="s">
        <v>228</v>
      </c>
      <c r="G135" s="49">
        <v>1</v>
      </c>
      <c r="H135" s="49">
        <v>310</v>
      </c>
    </row>
    <row r="136" spans="2:8" s="46" customFormat="1" ht="20.25" x14ac:dyDescent="0.3">
      <c r="B136" s="59">
        <v>127</v>
      </c>
      <c r="C136" s="94">
        <v>43252</v>
      </c>
      <c r="D136" s="94">
        <v>43253</v>
      </c>
      <c r="E136" s="55" t="s">
        <v>113</v>
      </c>
      <c r="F136" s="58" t="s">
        <v>114</v>
      </c>
      <c r="G136" s="49">
        <v>1</v>
      </c>
      <c r="H136" s="49">
        <v>690.3</v>
      </c>
    </row>
    <row r="137" spans="2:8" s="46" customFormat="1" ht="20.25" x14ac:dyDescent="0.3">
      <c r="B137" s="59">
        <v>128</v>
      </c>
      <c r="C137" s="94">
        <v>43609</v>
      </c>
      <c r="D137" s="94">
        <v>43612</v>
      </c>
      <c r="E137" s="55" t="s">
        <v>113</v>
      </c>
      <c r="F137" s="57" t="s">
        <v>230</v>
      </c>
      <c r="G137" s="49">
        <v>2</v>
      </c>
      <c r="H137" s="49">
        <v>1298</v>
      </c>
    </row>
    <row r="138" spans="2:8" s="46" customFormat="1" ht="20.25" x14ac:dyDescent="0.3">
      <c r="B138" s="59">
        <v>129</v>
      </c>
      <c r="C138" s="94">
        <v>43609</v>
      </c>
      <c r="D138" s="94">
        <v>43612</v>
      </c>
      <c r="E138" s="55" t="s">
        <v>115</v>
      </c>
      <c r="F138" s="55" t="s">
        <v>116</v>
      </c>
      <c r="G138" s="49">
        <v>1</v>
      </c>
      <c r="H138" s="49">
        <v>354</v>
      </c>
    </row>
    <row r="139" spans="2:8" s="46" customFormat="1" ht="20.25" x14ac:dyDescent="0.3">
      <c r="B139" s="59">
        <v>130</v>
      </c>
      <c r="C139" s="94">
        <v>43609</v>
      </c>
      <c r="D139" s="94">
        <v>43612</v>
      </c>
      <c r="E139" s="55" t="s">
        <v>115</v>
      </c>
      <c r="F139" s="55" t="s">
        <v>235</v>
      </c>
      <c r="G139" s="49">
        <v>1</v>
      </c>
      <c r="H139" s="49">
        <v>354</v>
      </c>
    </row>
    <row r="140" spans="2:8" s="64" customFormat="1" ht="20.25" x14ac:dyDescent="0.3">
      <c r="B140" s="59">
        <v>131</v>
      </c>
      <c r="C140" s="98">
        <v>43252</v>
      </c>
      <c r="D140" s="98">
        <v>43253</v>
      </c>
      <c r="E140" s="65" t="s">
        <v>118</v>
      </c>
      <c r="F140" s="65" t="s">
        <v>201</v>
      </c>
      <c r="G140" s="66">
        <v>1</v>
      </c>
      <c r="H140" s="66">
        <v>59</v>
      </c>
    </row>
    <row r="141" spans="2:8" s="46" customFormat="1" ht="20.25" x14ac:dyDescent="0.3">
      <c r="B141" s="59">
        <v>132</v>
      </c>
      <c r="C141" s="94" t="s">
        <v>369</v>
      </c>
      <c r="D141" s="94" t="s">
        <v>325</v>
      </c>
      <c r="E141" s="55" t="s">
        <v>118</v>
      </c>
      <c r="F141" s="55" t="s">
        <v>374</v>
      </c>
      <c r="G141" s="49">
        <v>10</v>
      </c>
      <c r="H141" s="49">
        <v>247.8</v>
      </c>
    </row>
    <row r="142" spans="2:8" s="46" customFormat="1" ht="20.25" x14ac:dyDescent="0.3">
      <c r="B142" s="59">
        <v>133</v>
      </c>
      <c r="C142" s="94" t="s">
        <v>369</v>
      </c>
      <c r="D142" s="94" t="s">
        <v>325</v>
      </c>
      <c r="E142" s="55" t="s">
        <v>421</v>
      </c>
      <c r="F142" s="55" t="s">
        <v>375</v>
      </c>
      <c r="G142" s="49">
        <v>58</v>
      </c>
      <c r="H142" s="49">
        <v>1437.24</v>
      </c>
    </row>
    <row r="143" spans="2:8" s="46" customFormat="1" ht="20.25" x14ac:dyDescent="0.3">
      <c r="B143" s="59">
        <v>134</v>
      </c>
      <c r="C143" s="94" t="s">
        <v>369</v>
      </c>
      <c r="D143" s="94" t="s">
        <v>325</v>
      </c>
      <c r="E143" s="55" t="s">
        <v>422</v>
      </c>
      <c r="F143" s="55" t="s">
        <v>376</v>
      </c>
      <c r="G143" s="49">
        <v>54</v>
      </c>
      <c r="H143" s="49">
        <v>1338.12</v>
      </c>
    </row>
    <row r="144" spans="2:8" s="46" customFormat="1" ht="20.25" x14ac:dyDescent="0.3">
      <c r="B144" s="59">
        <v>135</v>
      </c>
      <c r="C144" s="94">
        <v>43609</v>
      </c>
      <c r="D144" s="94">
        <v>43612</v>
      </c>
      <c r="E144" s="55" t="s">
        <v>121</v>
      </c>
      <c r="F144" s="55" t="s">
        <v>377</v>
      </c>
      <c r="G144" s="49">
        <v>56</v>
      </c>
      <c r="H144" s="49">
        <v>1387.68</v>
      </c>
    </row>
    <row r="145" spans="2:8" s="46" customFormat="1" ht="20.25" x14ac:dyDescent="0.3">
      <c r="B145" s="59">
        <v>136</v>
      </c>
      <c r="C145" s="94">
        <v>43830</v>
      </c>
      <c r="D145" s="94">
        <v>43859</v>
      </c>
      <c r="E145" s="55" t="s">
        <v>122</v>
      </c>
      <c r="F145" s="55" t="s">
        <v>378</v>
      </c>
      <c r="G145" s="49">
        <v>58</v>
      </c>
      <c r="H145" s="49">
        <v>1519.3679999999999</v>
      </c>
    </row>
    <row r="146" spans="2:8" s="46" customFormat="1" ht="20.25" x14ac:dyDescent="0.3">
      <c r="B146" s="59">
        <v>137</v>
      </c>
      <c r="C146" s="94" t="s">
        <v>369</v>
      </c>
      <c r="D146" s="94" t="s">
        <v>325</v>
      </c>
      <c r="E146" s="55" t="s">
        <v>118</v>
      </c>
      <c r="F146" s="55" t="s">
        <v>321</v>
      </c>
      <c r="G146" s="49">
        <v>1</v>
      </c>
      <c r="H146" s="49">
        <v>82.6</v>
      </c>
    </row>
    <row r="147" spans="2:8" s="46" customFormat="1" ht="20.25" x14ac:dyDescent="0.3">
      <c r="B147" s="59">
        <v>138</v>
      </c>
      <c r="C147" s="94">
        <v>43252</v>
      </c>
      <c r="D147" s="94">
        <v>43253</v>
      </c>
      <c r="E147" s="55" t="s">
        <v>423</v>
      </c>
      <c r="F147" s="55" t="s">
        <v>424</v>
      </c>
      <c r="G147" s="49">
        <v>59</v>
      </c>
      <c r="H147" s="49">
        <v>1545.5640000000001</v>
      </c>
    </row>
    <row r="148" spans="2:8" s="46" customFormat="1" ht="20.25" x14ac:dyDescent="0.3">
      <c r="B148" s="59">
        <v>139</v>
      </c>
      <c r="C148" s="94">
        <v>43830</v>
      </c>
      <c r="D148" s="94">
        <v>43859</v>
      </c>
      <c r="E148" s="55" t="s">
        <v>124</v>
      </c>
      <c r="F148" s="55" t="s">
        <v>125</v>
      </c>
      <c r="G148" s="49">
        <v>43</v>
      </c>
      <c r="H148" s="49">
        <v>1056.9141999999999</v>
      </c>
    </row>
    <row r="149" spans="2:8" s="50" customFormat="1" ht="20.25" x14ac:dyDescent="0.3">
      <c r="B149" s="59">
        <v>140</v>
      </c>
      <c r="C149" s="96">
        <v>45036</v>
      </c>
      <c r="D149" s="94">
        <f>+C149</f>
        <v>45036</v>
      </c>
      <c r="E149" s="72" t="s">
        <v>537</v>
      </c>
      <c r="F149" s="72" t="s">
        <v>515</v>
      </c>
      <c r="G149" s="73">
        <v>12</v>
      </c>
      <c r="H149" s="73">
        <v>424.8</v>
      </c>
    </row>
    <row r="150" spans="2:8" s="46" customFormat="1" ht="20.25" x14ac:dyDescent="0.3">
      <c r="B150" s="59">
        <v>141</v>
      </c>
      <c r="C150" s="94" t="s">
        <v>369</v>
      </c>
      <c r="D150" s="94" t="s">
        <v>325</v>
      </c>
      <c r="E150" s="55" t="s">
        <v>124</v>
      </c>
      <c r="F150" s="55" t="s">
        <v>263</v>
      </c>
      <c r="G150" s="49">
        <v>19</v>
      </c>
      <c r="H150" s="49">
        <v>28975</v>
      </c>
    </row>
    <row r="151" spans="2:8" s="46" customFormat="1" ht="20.25" x14ac:dyDescent="0.3">
      <c r="B151" s="59">
        <v>142</v>
      </c>
      <c r="C151" s="94">
        <v>43609</v>
      </c>
      <c r="D151" s="94">
        <v>43612</v>
      </c>
      <c r="E151" s="55" t="s">
        <v>126</v>
      </c>
      <c r="F151" s="55" t="s">
        <v>202</v>
      </c>
      <c r="G151" s="49">
        <v>38</v>
      </c>
      <c r="H151" s="49">
        <v>1345.2</v>
      </c>
    </row>
    <row r="152" spans="2:8" s="46" customFormat="1" ht="20.25" x14ac:dyDescent="0.3">
      <c r="B152" s="59">
        <v>143</v>
      </c>
      <c r="C152" s="94">
        <v>43609</v>
      </c>
      <c r="D152" s="94">
        <v>43612</v>
      </c>
      <c r="E152" s="55" t="s">
        <v>126</v>
      </c>
      <c r="F152" s="55" t="s">
        <v>425</v>
      </c>
      <c r="G152" s="49">
        <v>1</v>
      </c>
      <c r="H152" s="49">
        <v>29.5</v>
      </c>
    </row>
    <row r="153" spans="2:8" s="46" customFormat="1" ht="20.25" x14ac:dyDescent="0.3">
      <c r="B153" s="59">
        <v>144</v>
      </c>
      <c r="C153" s="94">
        <v>43609</v>
      </c>
      <c r="D153" s="94">
        <v>43612</v>
      </c>
      <c r="E153" s="55" t="s">
        <v>126</v>
      </c>
      <c r="F153" s="55" t="s">
        <v>267</v>
      </c>
      <c r="G153" s="49">
        <v>18</v>
      </c>
      <c r="H153" s="49">
        <v>1152</v>
      </c>
    </row>
    <row r="154" spans="2:8" s="46" customFormat="1" ht="20.25" x14ac:dyDescent="0.3">
      <c r="B154" s="59">
        <v>145</v>
      </c>
      <c r="C154" s="94" t="s">
        <v>369</v>
      </c>
      <c r="D154" s="94" t="s">
        <v>325</v>
      </c>
      <c r="E154" s="55" t="s">
        <v>128</v>
      </c>
      <c r="F154" s="55" t="s">
        <v>129</v>
      </c>
      <c r="G154" s="49">
        <v>110</v>
      </c>
      <c r="H154" s="49">
        <v>389.4</v>
      </c>
    </row>
    <row r="155" spans="2:8" s="46" customFormat="1" ht="20.25" x14ac:dyDescent="0.3">
      <c r="B155" s="59">
        <v>146</v>
      </c>
      <c r="C155" s="94" t="s">
        <v>369</v>
      </c>
      <c r="D155" s="94" t="s">
        <v>325</v>
      </c>
      <c r="E155" s="55" t="s">
        <v>128</v>
      </c>
      <c r="F155" s="55" t="s">
        <v>380</v>
      </c>
      <c r="G155" s="49">
        <v>394</v>
      </c>
      <c r="H155" s="49">
        <v>1766.6959999999999</v>
      </c>
    </row>
    <row r="156" spans="2:8" s="46" customFormat="1" ht="20.25" x14ac:dyDescent="0.3">
      <c r="B156" s="59">
        <v>147</v>
      </c>
      <c r="C156" s="94">
        <v>43609</v>
      </c>
      <c r="D156" s="94">
        <v>43612</v>
      </c>
      <c r="E156" s="55" t="s">
        <v>379</v>
      </c>
      <c r="F156" s="55" t="s">
        <v>130</v>
      </c>
      <c r="G156" s="49">
        <v>184</v>
      </c>
      <c r="H156" s="49">
        <v>521.08799999999997</v>
      </c>
    </row>
    <row r="157" spans="2:8" s="46" customFormat="1" ht="20.25" x14ac:dyDescent="0.3">
      <c r="B157" s="59">
        <v>148</v>
      </c>
      <c r="C157" s="94">
        <v>43252</v>
      </c>
      <c r="D157" s="94">
        <v>43253</v>
      </c>
      <c r="E157" s="55" t="s">
        <v>131</v>
      </c>
      <c r="F157" s="55" t="s">
        <v>382</v>
      </c>
      <c r="G157" s="49">
        <v>475</v>
      </c>
      <c r="H157" s="49">
        <v>952.85</v>
      </c>
    </row>
    <row r="158" spans="2:8" s="46" customFormat="1" ht="20.25" x14ac:dyDescent="0.3">
      <c r="B158" s="59">
        <v>149</v>
      </c>
      <c r="C158" s="94" t="s">
        <v>369</v>
      </c>
      <c r="D158" s="94" t="s">
        <v>325</v>
      </c>
      <c r="E158" s="55" t="s">
        <v>131</v>
      </c>
      <c r="F158" s="55" t="s">
        <v>132</v>
      </c>
      <c r="G158" s="49">
        <v>408</v>
      </c>
      <c r="H158" s="49">
        <v>866.59199999999998</v>
      </c>
    </row>
    <row r="159" spans="2:8" s="64" customFormat="1" ht="20.25" x14ac:dyDescent="0.3">
      <c r="B159" s="59">
        <v>150</v>
      </c>
      <c r="C159" s="98">
        <v>43252</v>
      </c>
      <c r="D159" s="98">
        <v>43254</v>
      </c>
      <c r="E159" s="65" t="s">
        <v>379</v>
      </c>
      <c r="F159" s="65" t="s">
        <v>381</v>
      </c>
      <c r="G159" s="66">
        <v>904</v>
      </c>
      <c r="H159" s="66">
        <v>3200.16</v>
      </c>
    </row>
    <row r="160" spans="2:8" s="70" customFormat="1" ht="20.25" x14ac:dyDescent="0.3">
      <c r="B160" s="59">
        <v>151</v>
      </c>
      <c r="C160" s="99">
        <v>45036</v>
      </c>
      <c r="D160" s="98">
        <f>+C160</f>
        <v>45036</v>
      </c>
      <c r="E160" s="65" t="s">
        <v>133</v>
      </c>
      <c r="F160" s="68" t="s">
        <v>134</v>
      </c>
      <c r="G160" s="69">
        <v>6</v>
      </c>
      <c r="H160" s="69">
        <v>531</v>
      </c>
    </row>
    <row r="161" spans="2:9" s="46" customFormat="1" ht="20.25" x14ac:dyDescent="0.3">
      <c r="B161" s="59">
        <v>152</v>
      </c>
      <c r="C161" s="94">
        <v>43830</v>
      </c>
      <c r="D161" s="94">
        <v>43858</v>
      </c>
      <c r="E161" s="55" t="s">
        <v>137</v>
      </c>
      <c r="F161" s="55" t="s">
        <v>138</v>
      </c>
      <c r="G161" s="49">
        <v>6</v>
      </c>
      <c r="H161" s="49">
        <v>566.4</v>
      </c>
    </row>
    <row r="162" spans="2:9" s="46" customFormat="1" ht="20.25" x14ac:dyDescent="0.3">
      <c r="B162" s="59">
        <v>153</v>
      </c>
      <c r="C162" s="94">
        <v>43609</v>
      </c>
      <c r="D162" s="94">
        <v>43612</v>
      </c>
      <c r="E162" s="55" t="s">
        <v>240</v>
      </c>
      <c r="F162" s="55" t="s">
        <v>139</v>
      </c>
      <c r="G162" s="49">
        <v>2</v>
      </c>
      <c r="H162" s="49">
        <v>460.2</v>
      </c>
    </row>
    <row r="163" spans="2:9" s="46" customFormat="1" ht="20.25" x14ac:dyDescent="0.3">
      <c r="B163" s="59">
        <v>154</v>
      </c>
      <c r="C163" s="94">
        <v>43609</v>
      </c>
      <c r="D163" s="94">
        <v>43612</v>
      </c>
      <c r="E163" s="55" t="s">
        <v>240</v>
      </c>
      <c r="F163" s="55" t="s">
        <v>139</v>
      </c>
      <c r="G163" s="49">
        <v>2</v>
      </c>
      <c r="H163" s="49">
        <v>424.8</v>
      </c>
    </row>
    <row r="164" spans="2:9" s="46" customFormat="1" ht="20.25" x14ac:dyDescent="0.3">
      <c r="B164" s="59">
        <v>155</v>
      </c>
      <c r="C164" s="94">
        <v>43252</v>
      </c>
      <c r="D164" s="94">
        <v>43253</v>
      </c>
      <c r="E164" s="55" t="s">
        <v>214</v>
      </c>
      <c r="F164" s="55" t="s">
        <v>207</v>
      </c>
      <c r="G164" s="49">
        <v>1</v>
      </c>
      <c r="H164" s="49">
        <v>61</v>
      </c>
    </row>
    <row r="165" spans="2:9" s="46" customFormat="1" ht="20.25" x14ac:dyDescent="0.3">
      <c r="B165" s="59">
        <v>156</v>
      </c>
      <c r="C165" s="94">
        <v>44162</v>
      </c>
      <c r="D165" s="94">
        <v>44187</v>
      </c>
      <c r="E165" s="55" t="s">
        <v>214</v>
      </c>
      <c r="F165" s="55" t="s">
        <v>207</v>
      </c>
      <c r="G165" s="49">
        <v>19</v>
      </c>
      <c r="H165" s="49">
        <v>896.8</v>
      </c>
    </row>
    <row r="166" spans="2:9" s="70" customFormat="1" ht="20.25" x14ac:dyDescent="0.3">
      <c r="B166" s="59">
        <v>157</v>
      </c>
      <c r="C166" s="99">
        <v>45036</v>
      </c>
      <c r="D166" s="98">
        <f>+C166</f>
        <v>45036</v>
      </c>
      <c r="E166" s="65" t="s">
        <v>217</v>
      </c>
      <c r="F166" s="68" t="s">
        <v>140</v>
      </c>
      <c r="G166" s="69">
        <v>1</v>
      </c>
      <c r="H166" s="73">
        <v>53.1</v>
      </c>
    </row>
    <row r="167" spans="2:9" s="46" customFormat="1" ht="20.25" x14ac:dyDescent="0.3">
      <c r="B167" s="59">
        <v>158</v>
      </c>
      <c r="C167" s="94">
        <v>43830</v>
      </c>
      <c r="D167" s="94">
        <v>43859</v>
      </c>
      <c r="E167" s="55" t="s">
        <v>208</v>
      </c>
      <c r="F167" s="55" t="s">
        <v>209</v>
      </c>
      <c r="G167" s="49">
        <v>5</v>
      </c>
      <c r="H167" s="49">
        <v>424.8</v>
      </c>
    </row>
    <row r="168" spans="2:9" s="46" customFormat="1" ht="20.25" x14ac:dyDescent="0.3">
      <c r="B168" s="59">
        <v>159</v>
      </c>
      <c r="C168" s="94">
        <v>43830</v>
      </c>
      <c r="D168" s="94">
        <v>43858</v>
      </c>
      <c r="E168" s="55" t="s">
        <v>398</v>
      </c>
      <c r="F168" s="55" t="s">
        <v>395</v>
      </c>
      <c r="G168" s="49">
        <v>1</v>
      </c>
      <c r="H168" s="49">
        <v>2183</v>
      </c>
    </row>
    <row r="169" spans="2:9" s="46" customFormat="1" ht="20.25" x14ac:dyDescent="0.3">
      <c r="B169" s="59">
        <v>160</v>
      </c>
      <c r="C169" s="94">
        <v>43830</v>
      </c>
      <c r="D169" s="94">
        <v>43858</v>
      </c>
      <c r="E169" s="55" t="s">
        <v>397</v>
      </c>
      <c r="F169" s="55" t="s">
        <v>396</v>
      </c>
      <c r="G169" s="49">
        <v>1</v>
      </c>
      <c r="H169" s="49">
        <v>2183</v>
      </c>
    </row>
    <row r="170" spans="2:9" s="46" customFormat="1" ht="20.25" x14ac:dyDescent="0.3">
      <c r="B170" s="59">
        <v>161</v>
      </c>
      <c r="C170" s="94">
        <v>43830</v>
      </c>
      <c r="D170" s="94">
        <v>43858</v>
      </c>
      <c r="E170" s="55" t="s">
        <v>397</v>
      </c>
      <c r="F170" s="55" t="s">
        <v>247</v>
      </c>
      <c r="G170" s="49">
        <v>1</v>
      </c>
      <c r="H170" s="49">
        <v>4465.9931999999999</v>
      </c>
    </row>
    <row r="171" spans="2:9" s="46" customFormat="1" ht="20.25" x14ac:dyDescent="0.3">
      <c r="B171" s="59">
        <v>162</v>
      </c>
      <c r="C171" s="94">
        <v>43830</v>
      </c>
      <c r="D171" s="94">
        <v>43858</v>
      </c>
      <c r="E171" s="55" t="s">
        <v>143</v>
      </c>
      <c r="F171" s="55" t="s">
        <v>144</v>
      </c>
      <c r="G171" s="49">
        <v>3</v>
      </c>
      <c r="H171" s="49">
        <v>8885.58</v>
      </c>
    </row>
    <row r="172" spans="2:9" s="46" customFormat="1" ht="20.25" x14ac:dyDescent="0.3">
      <c r="B172" s="59">
        <v>163</v>
      </c>
      <c r="C172" s="94">
        <v>43830</v>
      </c>
      <c r="D172" s="94">
        <v>43858</v>
      </c>
      <c r="E172" s="55" t="s">
        <v>145</v>
      </c>
      <c r="F172" s="55" t="s">
        <v>146</v>
      </c>
      <c r="G172" s="49">
        <v>6</v>
      </c>
      <c r="H172" s="49">
        <v>22271.16</v>
      </c>
      <c r="I172" s="56"/>
    </row>
    <row r="173" spans="2:9" s="46" customFormat="1" ht="20.25" x14ac:dyDescent="0.3">
      <c r="B173" s="59">
        <v>164</v>
      </c>
      <c r="C173" s="94">
        <v>43830</v>
      </c>
      <c r="D173" s="94">
        <v>43858</v>
      </c>
      <c r="E173" s="55" t="s">
        <v>147</v>
      </c>
      <c r="F173" s="55" t="s">
        <v>148</v>
      </c>
      <c r="G173" s="49">
        <v>5</v>
      </c>
      <c r="H173" s="49">
        <v>18559.3</v>
      </c>
      <c r="I173" s="56"/>
    </row>
    <row r="174" spans="2:9" s="46" customFormat="1" ht="20.25" x14ac:dyDescent="0.3">
      <c r="B174" s="59">
        <v>165</v>
      </c>
      <c r="C174" s="94">
        <v>43830</v>
      </c>
      <c r="D174" s="94">
        <v>43858</v>
      </c>
      <c r="E174" s="55" t="s">
        <v>149</v>
      </c>
      <c r="F174" s="55" t="s">
        <v>150</v>
      </c>
      <c r="G174" s="49">
        <v>8</v>
      </c>
      <c r="H174" s="49">
        <v>29694.880000000001</v>
      </c>
      <c r="I174" s="56"/>
    </row>
    <row r="175" spans="2:9" s="46" customFormat="1" ht="20.25" x14ac:dyDescent="0.3">
      <c r="B175" s="59">
        <v>166</v>
      </c>
      <c r="C175" s="94">
        <v>44162</v>
      </c>
      <c r="D175" s="94">
        <v>44187</v>
      </c>
      <c r="E175" s="55" t="s">
        <v>151</v>
      </c>
      <c r="F175" s="55" t="s">
        <v>152</v>
      </c>
      <c r="G175" s="49">
        <v>2</v>
      </c>
      <c r="H175" s="49">
        <v>6771.18</v>
      </c>
      <c r="I175" s="56"/>
    </row>
    <row r="176" spans="2:9" s="46" customFormat="1" ht="20.25" x14ac:dyDescent="0.3">
      <c r="B176" s="59">
        <v>167</v>
      </c>
      <c r="C176" s="94">
        <v>43609</v>
      </c>
      <c r="D176" s="94">
        <v>43612</v>
      </c>
      <c r="E176" s="55" t="s">
        <v>154</v>
      </c>
      <c r="F176" s="55" t="s">
        <v>249</v>
      </c>
      <c r="G176" s="49">
        <v>2</v>
      </c>
      <c r="H176" s="49">
        <v>6771.18</v>
      </c>
      <c r="I176" s="56"/>
    </row>
    <row r="177" spans="2:9" s="70" customFormat="1" ht="20.25" x14ac:dyDescent="0.3">
      <c r="B177" s="59">
        <v>168</v>
      </c>
      <c r="C177" s="99">
        <v>43252</v>
      </c>
      <c r="D177" s="98">
        <v>43253</v>
      </c>
      <c r="E177" s="68" t="s">
        <v>250</v>
      </c>
      <c r="F177" s="68" t="s">
        <v>251</v>
      </c>
      <c r="G177" s="69">
        <v>1</v>
      </c>
      <c r="H177" s="69">
        <v>3385.59</v>
      </c>
      <c r="I177" s="71"/>
    </row>
    <row r="178" spans="2:9" s="70" customFormat="1" ht="20.25" x14ac:dyDescent="0.3">
      <c r="B178" s="59">
        <v>169</v>
      </c>
      <c r="C178" s="99">
        <v>45036</v>
      </c>
      <c r="D178" s="98">
        <f>+C178</f>
        <v>45036</v>
      </c>
      <c r="E178" s="72" t="s">
        <v>529</v>
      </c>
      <c r="F178" s="68" t="s">
        <v>528</v>
      </c>
      <c r="G178" s="69">
        <v>6</v>
      </c>
      <c r="H178" s="69">
        <v>885</v>
      </c>
      <c r="I178" s="71"/>
    </row>
    <row r="179" spans="2:9" s="46" customFormat="1" ht="20.25" x14ac:dyDescent="0.3">
      <c r="B179" s="59">
        <v>170</v>
      </c>
      <c r="C179" s="94">
        <v>43609</v>
      </c>
      <c r="D179" s="94">
        <v>43612</v>
      </c>
      <c r="E179" s="55" t="s">
        <v>155</v>
      </c>
      <c r="F179" s="55" t="s">
        <v>156</v>
      </c>
      <c r="G179" s="49">
        <v>3</v>
      </c>
      <c r="H179" s="49">
        <v>212.4</v>
      </c>
    </row>
    <row r="180" spans="2:9" s="46" customFormat="1" ht="14.25" customHeight="1" thickBot="1" x14ac:dyDescent="0.35">
      <c r="B180" s="95"/>
      <c r="C180" s="94"/>
      <c r="D180" s="94"/>
      <c r="E180" s="95"/>
      <c r="F180" s="55"/>
      <c r="G180" s="49"/>
      <c r="H180" s="49"/>
    </row>
    <row r="181" spans="2:9" s="50" customFormat="1" ht="21" thickBot="1" x14ac:dyDescent="0.35">
      <c r="B181" s="95"/>
      <c r="C181" s="97"/>
      <c r="D181" s="97"/>
      <c r="E181" s="97"/>
      <c r="F181" s="52"/>
      <c r="G181" s="53"/>
      <c r="H181" s="89">
        <f>SUM(H10:H179)</f>
        <v>592473.46850109554</v>
      </c>
      <c r="I181" s="51"/>
    </row>
    <row r="182" spans="2:9" ht="31.5" x14ac:dyDescent="0.5">
      <c r="B182" s="81" t="s">
        <v>451</v>
      </c>
      <c r="C182" s="81"/>
      <c r="D182" s="81"/>
      <c r="E182" s="81"/>
      <c r="F182" s="81"/>
      <c r="G182" s="81"/>
      <c r="H182" s="81"/>
    </row>
    <row r="183" spans="2:9" s="48" customFormat="1" ht="42.75" customHeight="1" x14ac:dyDescent="0.25">
      <c r="B183" s="104" t="s">
        <v>455</v>
      </c>
      <c r="C183" s="104" t="s">
        <v>322</v>
      </c>
      <c r="D183" s="104" t="s">
        <v>241</v>
      </c>
      <c r="E183" s="104" t="s">
        <v>318</v>
      </c>
      <c r="F183" s="104" t="s">
        <v>161</v>
      </c>
      <c r="G183" s="104" t="s">
        <v>159</v>
      </c>
      <c r="H183" s="105" t="s">
        <v>160</v>
      </c>
    </row>
    <row r="184" spans="2:9" s="46" customFormat="1" ht="20.25" x14ac:dyDescent="0.3">
      <c r="B184" s="59">
        <v>1</v>
      </c>
      <c r="C184" s="94" t="s">
        <v>430</v>
      </c>
      <c r="D184" s="94">
        <v>44214</v>
      </c>
      <c r="E184" s="55" t="s">
        <v>440</v>
      </c>
      <c r="F184" s="55" t="s">
        <v>443</v>
      </c>
      <c r="G184" s="49">
        <v>12</v>
      </c>
      <c r="H184" s="49">
        <v>4248</v>
      </c>
    </row>
    <row r="185" spans="2:9" s="46" customFormat="1" ht="20.25" x14ac:dyDescent="0.3">
      <c r="B185" s="59">
        <v>2</v>
      </c>
      <c r="C185" s="94" t="s">
        <v>430</v>
      </c>
      <c r="D185" s="94">
        <v>44214</v>
      </c>
      <c r="E185" s="55" t="s">
        <v>442</v>
      </c>
      <c r="F185" s="55" t="s">
        <v>445</v>
      </c>
      <c r="G185" s="49">
        <v>12</v>
      </c>
      <c r="H185" s="49">
        <v>7080</v>
      </c>
    </row>
    <row r="186" spans="2:9" s="46" customFormat="1" ht="20.25" x14ac:dyDescent="0.3">
      <c r="B186" s="59">
        <v>3</v>
      </c>
      <c r="C186" s="94" t="s">
        <v>430</v>
      </c>
      <c r="D186" s="94">
        <v>44214</v>
      </c>
      <c r="E186" s="55" t="s">
        <v>441</v>
      </c>
      <c r="F186" s="55" t="s">
        <v>444</v>
      </c>
      <c r="G186" s="49">
        <v>12</v>
      </c>
      <c r="H186" s="49">
        <v>5664</v>
      </c>
    </row>
    <row r="187" spans="2:9" s="46" customFormat="1" ht="20.25" x14ac:dyDescent="0.3">
      <c r="B187" s="59">
        <v>4</v>
      </c>
      <c r="C187" s="94" t="s">
        <v>324</v>
      </c>
      <c r="D187" s="94" t="s">
        <v>325</v>
      </c>
      <c r="E187" s="55" t="s">
        <v>171</v>
      </c>
      <c r="F187" s="55" t="s">
        <v>346</v>
      </c>
      <c r="G187" s="49">
        <v>1</v>
      </c>
      <c r="H187" s="49">
        <v>678.5</v>
      </c>
      <c r="I187" s="56"/>
    </row>
    <row r="188" spans="2:9" s="46" customFormat="1" ht="20.25" x14ac:dyDescent="0.3">
      <c r="B188" s="59">
        <v>5</v>
      </c>
      <c r="C188" s="94" t="s">
        <v>324</v>
      </c>
      <c r="D188" s="94" t="s">
        <v>325</v>
      </c>
      <c r="E188" s="55" t="s">
        <v>291</v>
      </c>
      <c r="F188" s="55" t="s">
        <v>348</v>
      </c>
      <c r="G188" s="49">
        <v>2</v>
      </c>
      <c r="H188" s="49">
        <v>1640.2</v>
      </c>
    </row>
    <row r="189" spans="2:9" s="46" customFormat="1" ht="20.25" x14ac:dyDescent="0.3">
      <c r="B189" s="59">
        <v>6</v>
      </c>
      <c r="C189" s="94" t="s">
        <v>324</v>
      </c>
      <c r="D189" s="94" t="s">
        <v>325</v>
      </c>
      <c r="E189" s="55" t="s">
        <v>347</v>
      </c>
      <c r="F189" s="55" t="s">
        <v>349</v>
      </c>
      <c r="G189" s="49">
        <v>2</v>
      </c>
      <c r="H189" s="49">
        <v>1711</v>
      </c>
    </row>
    <row r="190" spans="2:9" s="46" customFormat="1" ht="20.25" x14ac:dyDescent="0.3">
      <c r="B190" s="59">
        <v>7</v>
      </c>
      <c r="C190" s="94">
        <v>43830</v>
      </c>
      <c r="D190" s="94">
        <v>43858</v>
      </c>
      <c r="E190" s="55" t="s">
        <v>282</v>
      </c>
      <c r="F190" s="55" t="s">
        <v>283</v>
      </c>
      <c r="G190" s="49">
        <v>8</v>
      </c>
      <c r="H190" s="49">
        <v>4804.96</v>
      </c>
    </row>
    <row r="191" spans="2:9" s="46" customFormat="1" ht="20.25" x14ac:dyDescent="0.3">
      <c r="B191" s="59">
        <v>8</v>
      </c>
      <c r="C191" s="94">
        <v>45076</v>
      </c>
      <c r="D191" s="94">
        <v>43858</v>
      </c>
      <c r="E191" s="55" t="s">
        <v>541</v>
      </c>
      <c r="F191" s="55" t="s">
        <v>542</v>
      </c>
      <c r="G191" s="49">
        <v>3</v>
      </c>
      <c r="H191" s="49">
        <v>4109.9799999999996</v>
      </c>
    </row>
    <row r="192" spans="2:9" s="46" customFormat="1" ht="20.25" x14ac:dyDescent="0.3">
      <c r="B192" s="59">
        <v>9</v>
      </c>
      <c r="C192" s="96">
        <v>45146</v>
      </c>
      <c r="D192" s="94">
        <v>44214</v>
      </c>
      <c r="E192" s="55" t="s">
        <v>432</v>
      </c>
      <c r="F192" s="55" t="s">
        <v>433</v>
      </c>
      <c r="G192" s="49">
        <v>24</v>
      </c>
      <c r="H192" s="49">
        <v>1699.2</v>
      </c>
    </row>
    <row r="193" spans="2:9" s="46" customFormat="1" ht="20.25" x14ac:dyDescent="0.3">
      <c r="B193" s="59">
        <v>10</v>
      </c>
      <c r="C193" s="96">
        <v>45146</v>
      </c>
      <c r="D193" s="94">
        <v>44214</v>
      </c>
      <c r="E193" s="55" t="s">
        <v>432</v>
      </c>
      <c r="F193" s="55" t="s">
        <v>555</v>
      </c>
      <c r="G193" s="49">
        <v>10</v>
      </c>
      <c r="H193" s="49">
        <v>708</v>
      </c>
    </row>
    <row r="194" spans="2:9" s="46" customFormat="1" ht="20.25" x14ac:dyDescent="0.3">
      <c r="B194" s="59">
        <v>11</v>
      </c>
      <c r="C194" s="94" t="s">
        <v>430</v>
      </c>
      <c r="D194" s="94">
        <v>44214</v>
      </c>
      <c r="E194" s="55" t="s">
        <v>435</v>
      </c>
      <c r="F194" s="55" t="s">
        <v>437</v>
      </c>
      <c r="G194" s="49">
        <v>24</v>
      </c>
      <c r="H194" s="49">
        <v>3115.2</v>
      </c>
      <c r="I194" s="56"/>
    </row>
    <row r="195" spans="2:9" s="46" customFormat="1" ht="20.25" x14ac:dyDescent="0.3">
      <c r="B195" s="59">
        <v>12</v>
      </c>
      <c r="C195" s="94">
        <v>43252</v>
      </c>
      <c r="D195" s="94">
        <v>43254</v>
      </c>
      <c r="E195" s="55" t="s">
        <v>58</v>
      </c>
      <c r="F195" s="55" t="s">
        <v>59</v>
      </c>
      <c r="G195" s="49">
        <v>1</v>
      </c>
      <c r="H195" s="49">
        <v>1088.55</v>
      </c>
      <c r="I195" s="56"/>
    </row>
    <row r="196" spans="2:9" s="46" customFormat="1" ht="20.25" x14ac:dyDescent="0.3">
      <c r="B196" s="59">
        <v>13</v>
      </c>
      <c r="C196" s="94">
        <v>44162</v>
      </c>
      <c r="D196" s="94">
        <v>44187</v>
      </c>
      <c r="E196" s="55" t="s">
        <v>60</v>
      </c>
      <c r="F196" s="55" t="s">
        <v>61</v>
      </c>
      <c r="G196" s="49">
        <v>2</v>
      </c>
      <c r="H196" s="49">
        <v>3345.3</v>
      </c>
      <c r="I196" s="56"/>
    </row>
    <row r="197" spans="2:9" s="46" customFormat="1" ht="20.25" x14ac:dyDescent="0.3">
      <c r="B197" s="59">
        <v>14</v>
      </c>
      <c r="C197" s="94">
        <v>43318</v>
      </c>
      <c r="D197" s="94">
        <v>43319</v>
      </c>
      <c r="E197" s="55" t="s">
        <v>276</v>
      </c>
      <c r="F197" s="55" t="s">
        <v>64</v>
      </c>
      <c r="G197" s="49">
        <v>1</v>
      </c>
      <c r="H197" s="49">
        <v>1239</v>
      </c>
      <c r="I197" s="56"/>
    </row>
    <row r="198" spans="2:9" s="46" customFormat="1" ht="20.25" x14ac:dyDescent="0.3">
      <c r="B198" s="59">
        <v>15</v>
      </c>
      <c r="C198" s="94">
        <v>43252</v>
      </c>
      <c r="D198" s="94">
        <v>43253</v>
      </c>
      <c r="E198" s="55" t="s">
        <v>65</v>
      </c>
      <c r="F198" s="55" t="s">
        <v>66</v>
      </c>
      <c r="G198" s="49">
        <v>1</v>
      </c>
      <c r="H198" s="49">
        <v>3540</v>
      </c>
      <c r="I198" s="56"/>
    </row>
    <row r="199" spans="2:9" s="46" customFormat="1" ht="20.25" x14ac:dyDescent="0.3">
      <c r="B199" s="59">
        <v>16</v>
      </c>
      <c r="C199" s="94" t="s">
        <v>430</v>
      </c>
      <c r="D199" s="94">
        <v>44214</v>
      </c>
      <c r="E199" s="55" t="s">
        <v>438</v>
      </c>
      <c r="F199" s="55" t="s">
        <v>439</v>
      </c>
      <c r="G199" s="49">
        <v>15</v>
      </c>
      <c r="H199" s="49">
        <v>3540</v>
      </c>
      <c r="I199" s="56"/>
    </row>
    <row r="200" spans="2:9" s="46" customFormat="1" ht="20.25" x14ac:dyDescent="0.3">
      <c r="B200" s="59">
        <v>17</v>
      </c>
      <c r="C200" s="94" t="s">
        <v>273</v>
      </c>
      <c r="D200" s="94">
        <v>43858</v>
      </c>
      <c r="E200" s="55" t="s">
        <v>275</v>
      </c>
      <c r="F200" s="55" t="s">
        <v>277</v>
      </c>
      <c r="G200" s="49">
        <v>17</v>
      </c>
      <c r="H200" s="49">
        <v>7141.36</v>
      </c>
      <c r="I200" s="56"/>
    </row>
    <row r="201" spans="2:9" s="46" customFormat="1" ht="20.25" x14ac:dyDescent="0.3">
      <c r="B201" s="59">
        <v>18</v>
      </c>
      <c r="C201" s="94">
        <v>43252</v>
      </c>
      <c r="D201" s="94">
        <v>43253</v>
      </c>
      <c r="E201" s="55" t="s">
        <v>274</v>
      </c>
      <c r="F201" s="55" t="s">
        <v>272</v>
      </c>
      <c r="G201" s="49">
        <v>12</v>
      </c>
      <c r="H201" s="49">
        <v>2053.1999999999998</v>
      </c>
    </row>
    <row r="202" spans="2:9" s="46" customFormat="1" ht="20.25" x14ac:dyDescent="0.3">
      <c r="B202" s="59">
        <v>19</v>
      </c>
      <c r="C202" s="96">
        <v>45146</v>
      </c>
      <c r="D202" s="94">
        <v>44214</v>
      </c>
      <c r="E202" s="55" t="s">
        <v>434</v>
      </c>
      <c r="F202" s="55" t="s">
        <v>436</v>
      </c>
      <c r="G202" s="49">
        <v>24</v>
      </c>
      <c r="H202" s="49">
        <v>1699.2</v>
      </c>
    </row>
    <row r="203" spans="2:9" s="46" customFormat="1" ht="20.25" x14ac:dyDescent="0.3">
      <c r="B203" s="59">
        <v>20</v>
      </c>
      <c r="C203" s="94" t="s">
        <v>324</v>
      </c>
      <c r="D203" s="94" t="s">
        <v>325</v>
      </c>
      <c r="E203" s="55" t="s">
        <v>333</v>
      </c>
      <c r="F203" s="55" t="s">
        <v>334</v>
      </c>
      <c r="G203" s="49">
        <v>12</v>
      </c>
      <c r="H203" s="49">
        <v>1047.8399999999999</v>
      </c>
    </row>
    <row r="204" spans="2:9" s="46" customFormat="1" ht="20.25" x14ac:dyDescent="0.3">
      <c r="B204" s="59">
        <v>21</v>
      </c>
      <c r="C204" s="94" t="s">
        <v>273</v>
      </c>
      <c r="D204" s="94">
        <v>43858</v>
      </c>
      <c r="E204" s="55" t="s">
        <v>292</v>
      </c>
      <c r="F204" s="55" t="s">
        <v>293</v>
      </c>
      <c r="G204" s="49">
        <v>4</v>
      </c>
      <c r="H204" s="49">
        <v>4800.24</v>
      </c>
    </row>
    <row r="205" spans="2:9" s="50" customFormat="1" ht="20.25" x14ac:dyDescent="0.3">
      <c r="B205" s="59">
        <v>22</v>
      </c>
      <c r="C205" s="96">
        <v>44980</v>
      </c>
      <c r="D205" s="96">
        <f>+C205</f>
        <v>44980</v>
      </c>
      <c r="E205" s="72" t="s">
        <v>462</v>
      </c>
      <c r="F205" s="72" t="s">
        <v>467</v>
      </c>
      <c r="G205" s="49">
        <v>3</v>
      </c>
      <c r="H205" s="69">
        <v>449.97</v>
      </c>
    </row>
    <row r="206" spans="2:9" s="50" customFormat="1" ht="20.25" x14ac:dyDescent="0.3">
      <c r="B206" s="59">
        <v>23</v>
      </c>
      <c r="C206" s="96">
        <v>44980</v>
      </c>
      <c r="D206" s="96">
        <f t="shared" ref="D206:D227" si="0">+C206</f>
        <v>44980</v>
      </c>
      <c r="E206" s="72" t="s">
        <v>463</v>
      </c>
      <c r="F206" s="72" t="s">
        <v>466</v>
      </c>
      <c r="G206" s="49">
        <v>3</v>
      </c>
      <c r="H206" s="69">
        <v>419.98</v>
      </c>
    </row>
    <row r="207" spans="2:9" s="50" customFormat="1" ht="20.25" x14ac:dyDescent="0.3">
      <c r="B207" s="59">
        <v>24</v>
      </c>
      <c r="C207" s="96">
        <v>44980</v>
      </c>
      <c r="D207" s="96">
        <f t="shared" si="0"/>
        <v>44980</v>
      </c>
      <c r="E207" s="72" t="s">
        <v>464</v>
      </c>
      <c r="F207" s="72" t="s">
        <v>465</v>
      </c>
      <c r="G207" s="49">
        <v>3</v>
      </c>
      <c r="H207" s="69">
        <v>434.99</v>
      </c>
    </row>
    <row r="208" spans="2:9" s="50" customFormat="1" ht="20.25" x14ac:dyDescent="0.3">
      <c r="B208" s="59">
        <v>25</v>
      </c>
      <c r="C208" s="96">
        <v>44981</v>
      </c>
      <c r="D208" s="96">
        <f t="shared" si="0"/>
        <v>44981</v>
      </c>
      <c r="E208" s="72" t="s">
        <v>473</v>
      </c>
      <c r="F208" s="72" t="s">
        <v>474</v>
      </c>
      <c r="G208" s="49">
        <v>3</v>
      </c>
      <c r="H208" s="69">
        <v>2099.9499999999998</v>
      </c>
    </row>
    <row r="209" spans="2:8" s="50" customFormat="1" ht="20.25" x14ac:dyDescent="0.3">
      <c r="B209" s="59">
        <v>26</v>
      </c>
      <c r="C209" s="96">
        <v>44980</v>
      </c>
      <c r="D209" s="96">
        <f t="shared" si="0"/>
        <v>44980</v>
      </c>
      <c r="E209" s="72" t="s">
        <v>468</v>
      </c>
      <c r="F209" s="72" t="s">
        <v>493</v>
      </c>
      <c r="G209" s="49">
        <v>16</v>
      </c>
      <c r="H209" s="69">
        <v>2099.92</v>
      </c>
    </row>
    <row r="210" spans="2:8" s="50" customFormat="1" ht="20.25" x14ac:dyDescent="0.3">
      <c r="B210" s="59">
        <v>27</v>
      </c>
      <c r="C210" s="96">
        <v>44980</v>
      </c>
      <c r="D210" s="96">
        <f t="shared" si="0"/>
        <v>44980</v>
      </c>
      <c r="E210" s="72" t="s">
        <v>469</v>
      </c>
      <c r="F210" s="72" t="s">
        <v>471</v>
      </c>
      <c r="G210" s="49">
        <v>13</v>
      </c>
      <c r="H210" s="69">
        <v>2249.84</v>
      </c>
    </row>
    <row r="211" spans="2:8" s="50" customFormat="1" ht="20.25" x14ac:dyDescent="0.3">
      <c r="B211" s="59">
        <v>28</v>
      </c>
      <c r="C211" s="96">
        <v>45146</v>
      </c>
      <c r="D211" s="96">
        <f t="shared" si="0"/>
        <v>45146</v>
      </c>
      <c r="E211" s="72" t="s">
        <v>556</v>
      </c>
      <c r="F211" s="72" t="s">
        <v>557</v>
      </c>
      <c r="G211" s="49">
        <v>13</v>
      </c>
      <c r="H211" s="69">
        <v>2249.84</v>
      </c>
    </row>
    <row r="212" spans="2:8" s="50" customFormat="1" ht="20.25" x14ac:dyDescent="0.3">
      <c r="B212" s="59">
        <v>29</v>
      </c>
      <c r="C212" s="96">
        <v>44980</v>
      </c>
      <c r="D212" s="96">
        <f t="shared" si="0"/>
        <v>44980</v>
      </c>
      <c r="E212" s="72" t="s">
        <v>470</v>
      </c>
      <c r="F212" s="72" t="s">
        <v>472</v>
      </c>
      <c r="G212" s="49">
        <v>35</v>
      </c>
      <c r="H212" s="69">
        <v>2699.95</v>
      </c>
    </row>
    <row r="213" spans="2:8" s="50" customFormat="1" ht="20.25" x14ac:dyDescent="0.3">
      <c r="B213" s="59">
        <v>30</v>
      </c>
      <c r="C213" s="96">
        <v>44980</v>
      </c>
      <c r="D213" s="96">
        <f t="shared" si="0"/>
        <v>44980</v>
      </c>
      <c r="E213" s="72" t="s">
        <v>475</v>
      </c>
      <c r="F213" s="72" t="s">
        <v>476</v>
      </c>
      <c r="G213" s="49">
        <v>66</v>
      </c>
      <c r="H213" s="69">
        <v>5249.92</v>
      </c>
    </row>
    <row r="214" spans="2:8" s="50" customFormat="1" ht="20.25" x14ac:dyDescent="0.3">
      <c r="B214" s="59">
        <v>31</v>
      </c>
      <c r="C214" s="96">
        <v>45146</v>
      </c>
      <c r="D214" s="96">
        <f t="shared" si="0"/>
        <v>45146</v>
      </c>
      <c r="E214" s="72" t="s">
        <v>477</v>
      </c>
      <c r="F214" s="72" t="s">
        <v>478</v>
      </c>
      <c r="G214" s="49">
        <v>7</v>
      </c>
      <c r="H214" s="69">
        <v>2927.92</v>
      </c>
    </row>
    <row r="215" spans="2:8" s="50" customFormat="1" ht="20.25" x14ac:dyDescent="0.3">
      <c r="B215" s="59">
        <v>32</v>
      </c>
      <c r="C215" s="96">
        <v>44980</v>
      </c>
      <c r="D215" s="96">
        <f t="shared" si="0"/>
        <v>44980</v>
      </c>
      <c r="E215" s="72" t="s">
        <v>479</v>
      </c>
      <c r="F215" s="72" t="s">
        <v>480</v>
      </c>
      <c r="G215" s="49">
        <v>1</v>
      </c>
      <c r="H215" s="69">
        <v>559.95000000000005</v>
      </c>
    </row>
    <row r="216" spans="2:8" s="50" customFormat="1" ht="20.25" x14ac:dyDescent="0.3">
      <c r="B216" s="59">
        <v>33</v>
      </c>
      <c r="C216" s="96">
        <v>45161</v>
      </c>
      <c r="D216" s="96">
        <f t="shared" si="0"/>
        <v>45161</v>
      </c>
      <c r="E216" s="72" t="s">
        <v>482</v>
      </c>
      <c r="F216" s="72" t="s">
        <v>481</v>
      </c>
      <c r="G216" s="49">
        <v>1</v>
      </c>
      <c r="H216" s="69">
        <v>649.95000000000005</v>
      </c>
    </row>
    <row r="217" spans="2:8" s="50" customFormat="1" ht="20.25" x14ac:dyDescent="0.3">
      <c r="B217" s="59">
        <v>34</v>
      </c>
      <c r="C217" s="96">
        <v>45161</v>
      </c>
      <c r="D217" s="96">
        <f t="shared" si="0"/>
        <v>45161</v>
      </c>
      <c r="E217" s="72" t="s">
        <v>483</v>
      </c>
      <c r="F217" s="72" t="s">
        <v>484</v>
      </c>
      <c r="G217" s="49">
        <v>9</v>
      </c>
      <c r="H217" s="69">
        <v>1874.92</v>
      </c>
    </row>
    <row r="218" spans="2:8" s="50" customFormat="1" ht="20.25" x14ac:dyDescent="0.3">
      <c r="B218" s="59">
        <v>35</v>
      </c>
      <c r="C218" s="96">
        <v>44980</v>
      </c>
      <c r="D218" s="96">
        <f t="shared" si="0"/>
        <v>44980</v>
      </c>
      <c r="E218" s="72" t="s">
        <v>485</v>
      </c>
      <c r="F218" s="72" t="s">
        <v>488</v>
      </c>
      <c r="G218" s="49">
        <v>1</v>
      </c>
      <c r="H218" s="69">
        <v>560</v>
      </c>
    </row>
    <row r="219" spans="2:8" s="50" customFormat="1" ht="20.25" x14ac:dyDescent="0.3">
      <c r="B219" s="59">
        <v>36</v>
      </c>
      <c r="C219" s="96">
        <v>45161</v>
      </c>
      <c r="D219" s="96">
        <f t="shared" si="0"/>
        <v>45161</v>
      </c>
      <c r="E219" s="72" t="s">
        <v>486</v>
      </c>
      <c r="F219" s="72" t="s">
        <v>487</v>
      </c>
      <c r="G219" s="49">
        <v>4</v>
      </c>
      <c r="H219" s="69">
        <v>920</v>
      </c>
    </row>
    <row r="220" spans="2:8" s="50" customFormat="1" ht="20.25" x14ac:dyDescent="0.3">
      <c r="B220" s="59">
        <v>37</v>
      </c>
      <c r="C220" s="96">
        <v>44980</v>
      </c>
      <c r="D220" s="96">
        <f t="shared" si="0"/>
        <v>44980</v>
      </c>
      <c r="E220" s="72" t="s">
        <v>489</v>
      </c>
      <c r="F220" s="72" t="s">
        <v>490</v>
      </c>
      <c r="G220" s="49">
        <v>1</v>
      </c>
      <c r="H220" s="69">
        <v>96</v>
      </c>
    </row>
    <row r="221" spans="2:8" s="50" customFormat="1" ht="20.25" x14ac:dyDescent="0.3">
      <c r="B221" s="59">
        <v>38</v>
      </c>
      <c r="C221" s="96">
        <v>44980</v>
      </c>
      <c r="D221" s="96">
        <f t="shared" si="0"/>
        <v>44980</v>
      </c>
      <c r="E221" s="72" t="s">
        <v>491</v>
      </c>
      <c r="F221" s="72" t="s">
        <v>492</v>
      </c>
      <c r="G221" s="49">
        <v>2</v>
      </c>
      <c r="H221" s="69">
        <v>1039.96</v>
      </c>
    </row>
    <row r="222" spans="2:8" s="50" customFormat="1" ht="20.25" x14ac:dyDescent="0.3">
      <c r="B222" s="59">
        <v>39</v>
      </c>
      <c r="C222" s="96">
        <v>45013</v>
      </c>
      <c r="D222" s="96">
        <f t="shared" si="0"/>
        <v>45013</v>
      </c>
      <c r="E222" s="72" t="s">
        <v>513</v>
      </c>
      <c r="F222" s="72" t="s">
        <v>514</v>
      </c>
      <c r="G222" s="49">
        <v>133</v>
      </c>
      <c r="H222" s="69">
        <v>37238.559999999998</v>
      </c>
    </row>
    <row r="223" spans="2:8" s="50" customFormat="1" ht="20.25" x14ac:dyDescent="0.3">
      <c r="B223" s="59">
        <v>40</v>
      </c>
      <c r="C223" s="96">
        <v>45146</v>
      </c>
      <c r="D223" s="96">
        <f t="shared" si="0"/>
        <v>45146</v>
      </c>
      <c r="E223" s="72" t="s">
        <v>564</v>
      </c>
      <c r="F223" s="72" t="s">
        <v>563</v>
      </c>
      <c r="G223" s="49">
        <v>2</v>
      </c>
      <c r="H223" s="69">
        <v>1000</v>
      </c>
    </row>
    <row r="224" spans="2:8" s="50" customFormat="1" ht="20.25" x14ac:dyDescent="0.3">
      <c r="B224" s="59">
        <v>41</v>
      </c>
      <c r="C224" s="96">
        <v>45146</v>
      </c>
      <c r="D224" s="96">
        <f t="shared" si="0"/>
        <v>45146</v>
      </c>
      <c r="E224" s="72" t="s">
        <v>558</v>
      </c>
      <c r="F224" s="72" t="s">
        <v>559</v>
      </c>
      <c r="G224" s="49">
        <v>6</v>
      </c>
      <c r="H224" s="69">
        <v>1217.76</v>
      </c>
    </row>
    <row r="225" spans="1:9" s="50" customFormat="1" ht="20.25" x14ac:dyDescent="0.3">
      <c r="B225" s="59">
        <v>42</v>
      </c>
      <c r="C225" s="96">
        <v>45146</v>
      </c>
      <c r="D225" s="96">
        <f t="shared" si="0"/>
        <v>45146</v>
      </c>
      <c r="E225" s="72" t="s">
        <v>560</v>
      </c>
      <c r="F225" s="72" t="s">
        <v>561</v>
      </c>
      <c r="G225" s="49">
        <v>6</v>
      </c>
      <c r="H225" s="69">
        <v>1217.76</v>
      </c>
    </row>
    <row r="226" spans="1:9" s="50" customFormat="1" ht="20.25" x14ac:dyDescent="0.3">
      <c r="B226" s="59">
        <v>43</v>
      </c>
      <c r="C226" s="96">
        <v>45146</v>
      </c>
      <c r="D226" s="96">
        <f t="shared" si="0"/>
        <v>45146</v>
      </c>
      <c r="E226" s="72" t="s">
        <v>560</v>
      </c>
      <c r="F226" s="72" t="s">
        <v>565</v>
      </c>
      <c r="G226" s="49">
        <v>6</v>
      </c>
      <c r="H226" s="69">
        <v>1309.8</v>
      </c>
    </row>
    <row r="227" spans="1:9" s="50" customFormat="1" ht="20.25" x14ac:dyDescent="0.3">
      <c r="B227" s="59">
        <v>44</v>
      </c>
      <c r="C227" s="96">
        <v>45146</v>
      </c>
      <c r="D227" s="96">
        <f t="shared" si="0"/>
        <v>45146</v>
      </c>
      <c r="E227" s="72" t="s">
        <v>562</v>
      </c>
      <c r="F227" s="72" t="s">
        <v>566</v>
      </c>
      <c r="G227" s="49">
        <v>6</v>
      </c>
      <c r="H227" s="69">
        <v>920.4</v>
      </c>
    </row>
    <row r="228" spans="1:9" s="50" customFormat="1" ht="16.5" customHeight="1" thickBot="1" x14ac:dyDescent="0.35">
      <c r="B228" s="59"/>
      <c r="C228" s="96"/>
      <c r="D228" s="96"/>
      <c r="E228" s="97"/>
      <c r="F228" s="72"/>
      <c r="G228" s="49"/>
      <c r="H228" s="69"/>
    </row>
    <row r="229" spans="1:9" s="50" customFormat="1" ht="21" thickBot="1" x14ac:dyDescent="0.35">
      <c r="B229" s="60"/>
      <c r="C229" s="97"/>
      <c r="D229" s="97"/>
      <c r="E229" s="97"/>
      <c r="F229" s="52"/>
      <c r="G229" s="75"/>
      <c r="H229" s="89">
        <f>SUM(H184:H227)</f>
        <v>134441.06999999995</v>
      </c>
      <c r="I229" s="51"/>
    </row>
    <row r="230" spans="1:9" ht="31.5" x14ac:dyDescent="0.5">
      <c r="A230" s="76"/>
      <c r="B230" s="81" t="s">
        <v>452</v>
      </c>
      <c r="C230" s="81"/>
      <c r="D230" s="81"/>
      <c r="E230" s="81"/>
      <c r="F230" s="81"/>
      <c r="G230" s="81"/>
      <c r="H230" s="81"/>
    </row>
    <row r="231" spans="1:9" s="48" customFormat="1" ht="20.25" x14ac:dyDescent="0.25">
      <c r="B231" s="104" t="s">
        <v>455</v>
      </c>
      <c r="C231" s="104" t="s">
        <v>322</v>
      </c>
      <c r="D231" s="104" t="s">
        <v>241</v>
      </c>
      <c r="E231" s="104" t="s">
        <v>318</v>
      </c>
      <c r="F231" s="104" t="s">
        <v>161</v>
      </c>
      <c r="G231" s="104" t="s">
        <v>159</v>
      </c>
      <c r="H231" s="105" t="s">
        <v>160</v>
      </c>
    </row>
    <row r="232" spans="1:9" s="70" customFormat="1" ht="20.25" x14ac:dyDescent="0.3">
      <c r="B232" s="67">
        <v>1</v>
      </c>
      <c r="C232" s="99" t="s">
        <v>324</v>
      </c>
      <c r="D232" s="99" t="s">
        <v>325</v>
      </c>
      <c r="E232" s="107" t="s">
        <v>356</v>
      </c>
      <c r="F232" s="68" t="s">
        <v>358</v>
      </c>
      <c r="G232" s="69">
        <v>40</v>
      </c>
      <c r="H232" s="69">
        <v>5192</v>
      </c>
      <c r="I232" s="71"/>
    </row>
    <row r="233" spans="1:9" s="70" customFormat="1" ht="20.25" x14ac:dyDescent="0.3">
      <c r="B233" s="67">
        <v>2</v>
      </c>
      <c r="C233" s="94">
        <v>45099</v>
      </c>
      <c r="D233" s="99">
        <f>+C233</f>
        <v>45099</v>
      </c>
      <c r="E233" s="107" t="s">
        <v>553</v>
      </c>
      <c r="F233" s="68" t="s">
        <v>554</v>
      </c>
      <c r="G233" s="69">
        <v>60</v>
      </c>
      <c r="H233" s="69">
        <v>1237.58</v>
      </c>
    </row>
    <row r="234" spans="1:9" s="70" customFormat="1" ht="20.25" x14ac:dyDescent="0.3">
      <c r="B234" s="67">
        <v>3</v>
      </c>
      <c r="C234" s="99" t="s">
        <v>324</v>
      </c>
      <c r="D234" s="99" t="s">
        <v>325</v>
      </c>
      <c r="E234" s="107" t="s">
        <v>337</v>
      </c>
      <c r="F234" s="68" t="s">
        <v>340</v>
      </c>
      <c r="G234" s="69">
        <v>1</v>
      </c>
      <c r="H234" s="69">
        <v>702.1</v>
      </c>
    </row>
    <row r="235" spans="1:9" s="46" customFormat="1" ht="20.25" x14ac:dyDescent="0.3">
      <c r="B235" s="67">
        <v>4</v>
      </c>
      <c r="C235" s="94">
        <v>44014</v>
      </c>
      <c r="D235" s="94">
        <v>44033</v>
      </c>
      <c r="E235" s="106" t="s">
        <v>315</v>
      </c>
      <c r="F235" s="55" t="s">
        <v>316</v>
      </c>
      <c r="G235" s="69">
        <v>5</v>
      </c>
      <c r="H235" s="49">
        <v>3245</v>
      </c>
    </row>
    <row r="236" spans="1:9" s="46" customFormat="1" ht="20.25" x14ac:dyDescent="0.3">
      <c r="B236" s="67">
        <v>5</v>
      </c>
      <c r="C236" s="94">
        <v>44018</v>
      </c>
      <c r="D236" s="94">
        <v>44033</v>
      </c>
      <c r="E236" s="106" t="s">
        <v>300</v>
      </c>
      <c r="F236" s="55" t="s">
        <v>301</v>
      </c>
      <c r="G236" s="69">
        <v>6</v>
      </c>
      <c r="H236" s="49">
        <v>601.79999999999995</v>
      </c>
    </row>
    <row r="237" spans="1:9" s="46" customFormat="1" ht="20.25" x14ac:dyDescent="0.3">
      <c r="B237" s="67">
        <v>6</v>
      </c>
      <c r="C237" s="94">
        <v>44019</v>
      </c>
      <c r="D237" s="94">
        <v>44033</v>
      </c>
      <c r="E237" s="106" t="s">
        <v>311</v>
      </c>
      <c r="F237" s="55" t="s">
        <v>312</v>
      </c>
      <c r="G237" s="69">
        <v>9</v>
      </c>
      <c r="H237" s="49">
        <v>1752.3</v>
      </c>
      <c r="I237" s="56"/>
    </row>
    <row r="238" spans="1:9" s="46" customFormat="1" ht="20.25" x14ac:dyDescent="0.3">
      <c r="B238" s="67">
        <v>7</v>
      </c>
      <c r="C238" s="94" t="s">
        <v>324</v>
      </c>
      <c r="D238" s="94" t="s">
        <v>325</v>
      </c>
      <c r="E238" s="106" t="s">
        <v>342</v>
      </c>
      <c r="F238" s="55" t="s">
        <v>343</v>
      </c>
      <c r="G238" s="69">
        <v>7</v>
      </c>
      <c r="H238" s="49">
        <v>1610.7</v>
      </c>
      <c r="I238" s="56"/>
    </row>
    <row r="239" spans="1:9" s="46" customFormat="1" ht="20.25" x14ac:dyDescent="0.3">
      <c r="B239" s="67">
        <v>8</v>
      </c>
      <c r="C239" s="94">
        <v>45099</v>
      </c>
      <c r="D239" s="94" t="s">
        <v>325</v>
      </c>
      <c r="E239" s="106" t="s">
        <v>545</v>
      </c>
      <c r="F239" s="55" t="s">
        <v>351</v>
      </c>
      <c r="G239" s="69">
        <v>7</v>
      </c>
      <c r="H239" s="49">
        <v>1027.21</v>
      </c>
    </row>
    <row r="240" spans="1:9" s="46" customFormat="1" ht="20.25" x14ac:dyDescent="0.3">
      <c r="B240" s="67">
        <v>9</v>
      </c>
      <c r="C240" s="94" t="s">
        <v>324</v>
      </c>
      <c r="D240" s="94" t="s">
        <v>325</v>
      </c>
      <c r="E240" s="106" t="s">
        <v>350</v>
      </c>
      <c r="F240" s="55" t="s">
        <v>351</v>
      </c>
      <c r="G240" s="69">
        <v>6</v>
      </c>
      <c r="H240" s="49">
        <v>1267.32</v>
      </c>
    </row>
    <row r="241" spans="2:8" s="64" customFormat="1" ht="20.25" x14ac:dyDescent="0.3">
      <c r="B241" s="67">
        <v>10</v>
      </c>
      <c r="C241" s="98" t="s">
        <v>324</v>
      </c>
      <c r="D241" s="98" t="s">
        <v>325</v>
      </c>
      <c r="E241" s="108" t="s">
        <v>353</v>
      </c>
      <c r="F241" s="65" t="s">
        <v>354</v>
      </c>
      <c r="G241" s="69">
        <v>4</v>
      </c>
      <c r="H241" s="66">
        <v>2100.4</v>
      </c>
    </row>
    <row r="242" spans="2:8" s="64" customFormat="1" ht="20.25" x14ac:dyDescent="0.3">
      <c r="B242" s="67">
        <v>11</v>
      </c>
      <c r="C242" s="98">
        <v>45099</v>
      </c>
      <c r="D242" s="98" t="s">
        <v>325</v>
      </c>
      <c r="E242" s="108" t="s">
        <v>549</v>
      </c>
      <c r="F242" s="65" t="s">
        <v>550</v>
      </c>
      <c r="G242" s="69">
        <v>4.7</v>
      </c>
      <c r="H242" s="66">
        <v>6552.6</v>
      </c>
    </row>
    <row r="243" spans="2:8" s="64" customFormat="1" ht="20.25" x14ac:dyDescent="0.3">
      <c r="B243" s="67">
        <v>12</v>
      </c>
      <c r="C243" s="98" t="s">
        <v>324</v>
      </c>
      <c r="D243" s="98" t="s">
        <v>325</v>
      </c>
      <c r="E243" s="108" t="s">
        <v>359</v>
      </c>
      <c r="F243" s="65" t="s">
        <v>360</v>
      </c>
      <c r="G243" s="69">
        <v>25</v>
      </c>
      <c r="H243" s="66">
        <v>12862</v>
      </c>
    </row>
    <row r="244" spans="2:8" s="64" customFormat="1" ht="20.25" x14ac:dyDescent="0.3">
      <c r="B244" s="67">
        <v>13</v>
      </c>
      <c r="C244" s="98">
        <v>45099</v>
      </c>
      <c r="D244" s="98" t="s">
        <v>325</v>
      </c>
      <c r="E244" s="108" t="s">
        <v>543</v>
      </c>
      <c r="F244" s="65" t="s">
        <v>360</v>
      </c>
      <c r="G244" s="69">
        <v>16.5</v>
      </c>
      <c r="H244" s="66">
        <v>13862.64</v>
      </c>
    </row>
    <row r="245" spans="2:8" s="64" customFormat="1" ht="20.25" x14ac:dyDescent="0.3">
      <c r="B245" s="67">
        <v>14</v>
      </c>
      <c r="C245" s="98">
        <v>45099</v>
      </c>
      <c r="D245" s="98" t="s">
        <v>325</v>
      </c>
      <c r="E245" s="108" t="s">
        <v>544</v>
      </c>
      <c r="F245" s="65" t="s">
        <v>361</v>
      </c>
      <c r="G245" s="69">
        <v>6</v>
      </c>
      <c r="H245" s="66">
        <v>13374.12</v>
      </c>
    </row>
    <row r="246" spans="2:8" s="70" customFormat="1" ht="20.25" x14ac:dyDescent="0.3">
      <c r="B246" s="67">
        <v>15</v>
      </c>
      <c r="C246" s="99">
        <v>43252</v>
      </c>
      <c r="D246" s="99">
        <v>43253</v>
      </c>
      <c r="E246" s="107" t="s">
        <v>278</v>
      </c>
      <c r="F246" s="68" t="s">
        <v>127</v>
      </c>
      <c r="G246" s="69">
        <v>285</v>
      </c>
      <c r="H246" s="69">
        <v>4703.4799999999996</v>
      </c>
    </row>
    <row r="247" spans="2:8" s="64" customFormat="1" ht="20.25" x14ac:dyDescent="0.3">
      <c r="B247" s="67">
        <v>16</v>
      </c>
      <c r="C247" s="98" t="s">
        <v>324</v>
      </c>
      <c r="D247" s="98" t="s">
        <v>325</v>
      </c>
      <c r="E247" s="108" t="s">
        <v>326</v>
      </c>
      <c r="F247" s="65" t="s">
        <v>328</v>
      </c>
      <c r="G247" s="69">
        <v>5</v>
      </c>
      <c r="H247" s="69">
        <v>495</v>
      </c>
    </row>
    <row r="248" spans="2:8" s="64" customFormat="1" ht="20.25" x14ac:dyDescent="0.3">
      <c r="B248" s="67">
        <v>17</v>
      </c>
      <c r="C248" s="98" t="s">
        <v>324</v>
      </c>
      <c r="D248" s="98" t="s">
        <v>325</v>
      </c>
      <c r="E248" s="108" t="s">
        <v>327</v>
      </c>
      <c r="F248" s="65" t="s">
        <v>329</v>
      </c>
      <c r="G248" s="69">
        <v>2</v>
      </c>
      <c r="H248" s="66">
        <v>390</v>
      </c>
    </row>
    <row r="249" spans="2:8" s="70" customFormat="1" ht="20.25" x14ac:dyDescent="0.3">
      <c r="B249" s="67">
        <v>18</v>
      </c>
      <c r="C249" s="99">
        <v>45005</v>
      </c>
      <c r="D249" s="99">
        <f>+C249</f>
        <v>45005</v>
      </c>
      <c r="E249" s="107" t="s">
        <v>494</v>
      </c>
      <c r="F249" s="68" t="s">
        <v>495</v>
      </c>
      <c r="G249" s="69">
        <v>10</v>
      </c>
      <c r="H249" s="69">
        <v>4750</v>
      </c>
    </row>
    <row r="250" spans="2:8" s="70" customFormat="1" ht="20.25" x14ac:dyDescent="0.3">
      <c r="B250" s="67">
        <v>19</v>
      </c>
      <c r="C250" s="99">
        <v>45005</v>
      </c>
      <c r="D250" s="99">
        <f t="shared" ref="D250:D266" si="1">+C250</f>
        <v>45005</v>
      </c>
      <c r="E250" s="107" t="s">
        <v>494</v>
      </c>
      <c r="F250" s="68" t="s">
        <v>505</v>
      </c>
      <c r="G250" s="69">
        <v>4</v>
      </c>
      <c r="H250" s="69">
        <v>1463.2</v>
      </c>
    </row>
    <row r="251" spans="2:8" s="70" customFormat="1" ht="20.25" x14ac:dyDescent="0.3">
      <c r="B251" s="67">
        <v>20</v>
      </c>
      <c r="C251" s="99">
        <v>45005</v>
      </c>
      <c r="D251" s="99">
        <f t="shared" si="1"/>
        <v>45005</v>
      </c>
      <c r="E251" s="107" t="s">
        <v>507</v>
      </c>
      <c r="F251" s="68" t="s">
        <v>573</v>
      </c>
      <c r="G251" s="69">
        <v>6</v>
      </c>
      <c r="H251" s="69">
        <v>1110</v>
      </c>
    </row>
    <row r="252" spans="2:8" s="70" customFormat="1" ht="20.25" x14ac:dyDescent="0.3">
      <c r="B252" s="67">
        <v>21</v>
      </c>
      <c r="C252" s="99">
        <v>45005</v>
      </c>
      <c r="D252" s="99">
        <f t="shared" si="1"/>
        <v>45005</v>
      </c>
      <c r="E252" s="107" t="s">
        <v>496</v>
      </c>
      <c r="F252" s="68" t="s">
        <v>569</v>
      </c>
      <c r="G252" s="69">
        <v>4</v>
      </c>
      <c r="H252" s="69">
        <v>2006</v>
      </c>
    </row>
    <row r="253" spans="2:8" s="70" customFormat="1" ht="20.25" x14ac:dyDescent="0.3">
      <c r="B253" s="67">
        <v>22</v>
      </c>
      <c r="C253" s="99">
        <v>45005</v>
      </c>
      <c r="D253" s="99">
        <f t="shared" si="1"/>
        <v>45005</v>
      </c>
      <c r="E253" s="107" t="s">
        <v>570</v>
      </c>
      <c r="F253" s="68" t="s">
        <v>569</v>
      </c>
      <c r="G253" s="69">
        <v>6</v>
      </c>
      <c r="H253" s="69">
        <v>1230</v>
      </c>
    </row>
    <row r="254" spans="2:8" s="70" customFormat="1" ht="20.25" x14ac:dyDescent="0.3">
      <c r="B254" s="67">
        <v>23</v>
      </c>
      <c r="C254" s="99">
        <v>45005</v>
      </c>
      <c r="D254" s="99">
        <f t="shared" si="1"/>
        <v>45005</v>
      </c>
      <c r="E254" s="107" t="s">
        <v>497</v>
      </c>
      <c r="F254" s="68" t="s">
        <v>498</v>
      </c>
      <c r="G254" s="69">
        <v>15</v>
      </c>
      <c r="H254" s="69">
        <v>1911.6</v>
      </c>
    </row>
    <row r="255" spans="2:8" s="70" customFormat="1" ht="20.25" x14ac:dyDescent="0.3">
      <c r="B255" s="67">
        <v>24</v>
      </c>
      <c r="C255" s="99">
        <v>45005</v>
      </c>
      <c r="D255" s="99">
        <f t="shared" si="1"/>
        <v>45005</v>
      </c>
      <c r="E255" s="107" t="s">
        <v>572</v>
      </c>
      <c r="F255" s="68" t="s">
        <v>498</v>
      </c>
      <c r="G255" s="69">
        <v>40</v>
      </c>
      <c r="H255" s="69">
        <v>10000</v>
      </c>
    </row>
    <row r="256" spans="2:8" s="70" customFormat="1" ht="20.25" x14ac:dyDescent="0.3">
      <c r="B256" s="67">
        <v>25</v>
      </c>
      <c r="C256" s="99">
        <v>45005</v>
      </c>
      <c r="D256" s="99">
        <f t="shared" si="1"/>
        <v>45005</v>
      </c>
      <c r="E256" s="107" t="s">
        <v>499</v>
      </c>
      <c r="F256" s="68" t="s">
        <v>500</v>
      </c>
      <c r="G256" s="69">
        <v>6</v>
      </c>
      <c r="H256" s="69">
        <v>13452</v>
      </c>
    </row>
    <row r="257" spans="2:8" s="70" customFormat="1" ht="20.25" x14ac:dyDescent="0.3">
      <c r="B257" s="67">
        <v>26</v>
      </c>
      <c r="C257" s="99">
        <v>45005</v>
      </c>
      <c r="D257" s="99">
        <f t="shared" si="1"/>
        <v>45005</v>
      </c>
      <c r="E257" s="107" t="s">
        <v>502</v>
      </c>
      <c r="F257" s="68" t="s">
        <v>501</v>
      </c>
      <c r="G257" s="69">
        <v>11.25</v>
      </c>
      <c r="H257" s="69">
        <v>1194.75</v>
      </c>
    </row>
    <row r="258" spans="2:8" s="70" customFormat="1" ht="20.25" x14ac:dyDescent="0.3">
      <c r="B258" s="67">
        <v>27</v>
      </c>
      <c r="C258" s="99">
        <v>45005</v>
      </c>
      <c r="D258" s="99">
        <f t="shared" si="1"/>
        <v>45005</v>
      </c>
      <c r="E258" s="107" t="s">
        <v>503</v>
      </c>
      <c r="F258" s="68" t="s">
        <v>504</v>
      </c>
      <c r="G258" s="69">
        <v>4</v>
      </c>
      <c r="H258" s="69">
        <v>590</v>
      </c>
    </row>
    <row r="259" spans="2:8" s="70" customFormat="1" ht="20.25" x14ac:dyDescent="0.3">
      <c r="B259" s="67">
        <v>28</v>
      </c>
      <c r="C259" s="99">
        <v>45099</v>
      </c>
      <c r="D259" s="99">
        <f t="shared" si="1"/>
        <v>45099</v>
      </c>
      <c r="E259" s="107" t="s">
        <v>546</v>
      </c>
      <c r="F259" s="68" t="s">
        <v>547</v>
      </c>
      <c r="G259" s="69">
        <v>7</v>
      </c>
      <c r="H259" s="69">
        <v>448</v>
      </c>
    </row>
    <row r="260" spans="2:8" s="70" customFormat="1" ht="20.25" x14ac:dyDescent="0.3">
      <c r="B260" s="67">
        <v>29</v>
      </c>
      <c r="C260" s="99">
        <v>45005</v>
      </c>
      <c r="D260" s="99">
        <f t="shared" si="1"/>
        <v>45005</v>
      </c>
      <c r="E260" s="107" t="s">
        <v>507</v>
      </c>
      <c r="F260" s="68" t="s">
        <v>506</v>
      </c>
      <c r="G260" s="69">
        <v>3</v>
      </c>
      <c r="H260" s="69">
        <v>1097.4000000000001</v>
      </c>
    </row>
    <row r="261" spans="2:8" s="70" customFormat="1" ht="20.25" x14ac:dyDescent="0.3">
      <c r="B261" s="67">
        <v>30</v>
      </c>
      <c r="C261" s="99">
        <v>45099</v>
      </c>
      <c r="D261" s="99">
        <f t="shared" si="1"/>
        <v>45099</v>
      </c>
      <c r="E261" s="107" t="s">
        <v>548</v>
      </c>
      <c r="F261" s="68" t="s">
        <v>506</v>
      </c>
      <c r="G261" s="69">
        <v>4</v>
      </c>
      <c r="H261" s="69">
        <v>1249.8399999999999</v>
      </c>
    </row>
    <row r="262" spans="2:8" s="70" customFormat="1" ht="20.25" x14ac:dyDescent="0.3">
      <c r="B262" s="67">
        <v>31</v>
      </c>
      <c r="C262" s="99">
        <v>45005</v>
      </c>
      <c r="D262" s="99">
        <f t="shared" si="1"/>
        <v>45005</v>
      </c>
      <c r="E262" s="107" t="s">
        <v>353</v>
      </c>
      <c r="F262" s="68" t="s">
        <v>509</v>
      </c>
      <c r="G262" s="69">
        <v>8</v>
      </c>
      <c r="H262" s="69">
        <v>1982.4</v>
      </c>
    </row>
    <row r="263" spans="2:8" s="70" customFormat="1" ht="20.25" x14ac:dyDescent="0.3">
      <c r="B263" s="67">
        <v>32</v>
      </c>
      <c r="C263" s="99">
        <v>45005</v>
      </c>
      <c r="D263" s="99">
        <f t="shared" si="1"/>
        <v>45005</v>
      </c>
      <c r="E263" s="107" t="s">
        <v>508</v>
      </c>
      <c r="F263" s="68" t="s">
        <v>510</v>
      </c>
      <c r="G263" s="69">
        <v>8</v>
      </c>
      <c r="H263" s="69">
        <v>1982.4</v>
      </c>
    </row>
    <row r="264" spans="2:8" s="70" customFormat="1" ht="20.25" x14ac:dyDescent="0.3">
      <c r="B264" s="67">
        <v>33</v>
      </c>
      <c r="C264" s="99">
        <v>45005</v>
      </c>
      <c r="D264" s="99">
        <f t="shared" si="1"/>
        <v>45005</v>
      </c>
      <c r="E264" s="107" t="s">
        <v>511</v>
      </c>
      <c r="F264" s="68" t="s">
        <v>512</v>
      </c>
      <c r="G264" s="69">
        <v>5</v>
      </c>
      <c r="H264" s="69">
        <v>1180</v>
      </c>
    </row>
    <row r="265" spans="2:8" s="70" customFormat="1" ht="20.25" x14ac:dyDescent="0.3">
      <c r="B265" s="67">
        <v>34</v>
      </c>
      <c r="C265" s="99">
        <v>45099</v>
      </c>
      <c r="D265" s="99">
        <f t="shared" si="1"/>
        <v>45099</v>
      </c>
      <c r="E265" s="107" t="s">
        <v>551</v>
      </c>
      <c r="F265" s="68" t="s">
        <v>552</v>
      </c>
      <c r="G265" s="69">
        <v>30</v>
      </c>
      <c r="H265" s="69">
        <v>1458.6</v>
      </c>
    </row>
    <row r="266" spans="2:8" s="70" customFormat="1" ht="20.25" x14ac:dyDescent="0.3">
      <c r="B266" s="67">
        <v>35</v>
      </c>
      <c r="C266" s="99">
        <v>45099</v>
      </c>
      <c r="D266" s="99">
        <f t="shared" si="1"/>
        <v>45099</v>
      </c>
      <c r="E266" s="107" t="s">
        <v>575</v>
      </c>
      <c r="F266" s="68" t="s">
        <v>571</v>
      </c>
      <c r="G266" s="69">
        <v>1</v>
      </c>
      <c r="H266" s="69">
        <v>980</v>
      </c>
    </row>
    <row r="267" spans="2:8" s="70" customFormat="1" ht="14.25" customHeight="1" thickBot="1" x14ac:dyDescent="0.35">
      <c r="B267" s="67"/>
      <c r="C267" s="99"/>
      <c r="D267" s="99"/>
      <c r="E267" s="100"/>
      <c r="F267" s="68"/>
      <c r="G267" s="69"/>
      <c r="H267" s="69"/>
    </row>
    <row r="268" spans="2:8" s="50" customFormat="1" ht="21" thickBot="1" x14ac:dyDescent="0.35">
      <c r="B268" s="67"/>
      <c r="C268" s="101"/>
      <c r="D268" s="101"/>
      <c r="E268" s="101"/>
      <c r="G268" s="74"/>
      <c r="H268" s="89">
        <f>SUM(H232:H266)</f>
        <v>119062.43999999999</v>
      </c>
    </row>
    <row r="269" spans="2:8" ht="31.5" x14ac:dyDescent="0.5">
      <c r="B269" s="81" t="s">
        <v>454</v>
      </c>
      <c r="C269" s="81"/>
      <c r="D269" s="81"/>
      <c r="E269" s="81"/>
      <c r="F269" s="81"/>
      <c r="G269" s="81"/>
      <c r="H269" s="81"/>
    </row>
    <row r="270" spans="2:8" s="48" customFormat="1" ht="20.25" x14ac:dyDescent="0.25">
      <c r="B270" s="104" t="s">
        <v>455</v>
      </c>
      <c r="C270" s="104" t="s">
        <v>322</v>
      </c>
      <c r="D270" s="104" t="s">
        <v>241</v>
      </c>
      <c r="E270" s="104" t="s">
        <v>318</v>
      </c>
      <c r="F270" s="104" t="s">
        <v>161</v>
      </c>
      <c r="G270" s="104" t="s">
        <v>159</v>
      </c>
      <c r="H270" s="105" t="s">
        <v>160</v>
      </c>
    </row>
    <row r="271" spans="2:8" s="70" customFormat="1" ht="20.25" x14ac:dyDescent="0.3">
      <c r="B271" s="67">
        <v>1</v>
      </c>
      <c r="C271" s="99">
        <v>43830</v>
      </c>
      <c r="D271" s="99">
        <v>43858</v>
      </c>
      <c r="E271" s="107" t="s">
        <v>289</v>
      </c>
      <c r="F271" s="68" t="s">
        <v>290</v>
      </c>
      <c r="G271" s="69">
        <v>5</v>
      </c>
      <c r="H271" s="69">
        <v>4495.8</v>
      </c>
    </row>
    <row r="272" spans="2:8" s="70" customFormat="1" ht="20.25" x14ac:dyDescent="0.3">
      <c r="B272" s="67">
        <v>2</v>
      </c>
      <c r="C272" s="99">
        <v>43252</v>
      </c>
      <c r="D272" s="99">
        <v>43255</v>
      </c>
      <c r="E272" s="107" t="s">
        <v>287</v>
      </c>
      <c r="F272" s="68" t="s">
        <v>19</v>
      </c>
      <c r="G272" s="69">
        <v>1</v>
      </c>
      <c r="H272" s="69">
        <v>859.04</v>
      </c>
    </row>
    <row r="273" spans="2:9" s="46" customFormat="1" ht="20.25" x14ac:dyDescent="0.3">
      <c r="B273" s="67">
        <v>3</v>
      </c>
      <c r="C273" s="98" t="s">
        <v>324</v>
      </c>
      <c r="D273" s="98" t="s">
        <v>325</v>
      </c>
      <c r="E273" s="106" t="s">
        <v>298</v>
      </c>
      <c r="F273" s="55" t="s">
        <v>362</v>
      </c>
      <c r="G273" s="69">
        <v>3</v>
      </c>
      <c r="H273" s="69">
        <v>2301</v>
      </c>
      <c r="I273" s="56"/>
    </row>
    <row r="274" spans="2:9" s="46" customFormat="1" ht="20.25" x14ac:dyDescent="0.3">
      <c r="B274" s="67">
        <v>4</v>
      </c>
      <c r="C274" s="98">
        <v>43252</v>
      </c>
      <c r="D274" s="98">
        <v>43254</v>
      </c>
      <c r="E274" s="108" t="s">
        <v>5</v>
      </c>
      <c r="F274" s="65" t="s">
        <v>6</v>
      </c>
      <c r="G274" s="69">
        <v>84</v>
      </c>
      <c r="H274" s="69">
        <v>792.96</v>
      </c>
    </row>
    <row r="275" spans="2:9" s="46" customFormat="1" ht="20.25" x14ac:dyDescent="0.3">
      <c r="B275" s="67">
        <v>5</v>
      </c>
      <c r="C275" s="98" t="s">
        <v>324</v>
      </c>
      <c r="D275" s="98" t="s">
        <v>325</v>
      </c>
      <c r="E275" s="106" t="s">
        <v>364</v>
      </c>
      <c r="F275" s="55" t="s">
        <v>345</v>
      </c>
      <c r="G275" s="69">
        <v>14</v>
      </c>
      <c r="H275" s="69">
        <v>5121.2</v>
      </c>
      <c r="I275" s="56"/>
    </row>
    <row r="276" spans="2:9" s="46" customFormat="1" ht="20.25" x14ac:dyDescent="0.3">
      <c r="B276" s="67">
        <v>6</v>
      </c>
      <c r="C276" s="98">
        <v>44020</v>
      </c>
      <c r="D276" s="98">
        <v>44033</v>
      </c>
      <c r="E276" s="106" t="s">
        <v>183</v>
      </c>
      <c r="F276" s="55" t="s">
        <v>306</v>
      </c>
      <c r="G276" s="69">
        <v>8</v>
      </c>
      <c r="H276" s="69">
        <f>46256-979.99</f>
        <v>45276.01</v>
      </c>
    </row>
    <row r="277" spans="2:9" s="46" customFormat="1" ht="20.25" x14ac:dyDescent="0.3">
      <c r="B277" s="67">
        <v>7</v>
      </c>
      <c r="C277" s="94">
        <v>44020</v>
      </c>
      <c r="D277" s="94">
        <v>44033</v>
      </c>
      <c r="E277" s="106" t="s">
        <v>285</v>
      </c>
      <c r="F277" s="55" t="s">
        <v>307</v>
      </c>
      <c r="G277" s="69">
        <v>4</v>
      </c>
      <c r="H277" s="69">
        <v>21240</v>
      </c>
    </row>
    <row r="278" spans="2:9" s="46" customFormat="1" ht="20.25" x14ac:dyDescent="0.3">
      <c r="B278" s="67">
        <v>8</v>
      </c>
      <c r="C278" s="94" t="s">
        <v>324</v>
      </c>
      <c r="D278" s="94" t="s">
        <v>325</v>
      </c>
      <c r="E278" s="106" t="s">
        <v>331</v>
      </c>
      <c r="F278" s="57" t="s">
        <v>332</v>
      </c>
      <c r="G278" s="69">
        <v>6</v>
      </c>
      <c r="H278" s="69">
        <v>1345.2</v>
      </c>
    </row>
    <row r="279" spans="2:9" s="46" customFormat="1" ht="20.25" x14ac:dyDescent="0.3">
      <c r="B279" s="67">
        <v>9</v>
      </c>
      <c r="C279" s="94">
        <v>45068</v>
      </c>
      <c r="D279" s="94">
        <f>+C279</f>
        <v>45068</v>
      </c>
      <c r="E279" s="106" t="s">
        <v>287</v>
      </c>
      <c r="F279" s="57" t="s">
        <v>538</v>
      </c>
      <c r="G279" s="69">
        <v>9</v>
      </c>
      <c r="H279" s="69">
        <v>6344.39</v>
      </c>
    </row>
    <row r="280" spans="2:9" s="46" customFormat="1" ht="20.25" x14ac:dyDescent="0.3">
      <c r="B280" s="67">
        <v>10</v>
      </c>
      <c r="C280" s="94">
        <v>45065</v>
      </c>
      <c r="D280" s="94">
        <f>+C280</f>
        <v>45065</v>
      </c>
      <c r="E280" s="106" t="s">
        <v>539</v>
      </c>
      <c r="F280" s="57" t="s">
        <v>538</v>
      </c>
      <c r="G280" s="69">
        <v>7</v>
      </c>
      <c r="H280" s="69">
        <v>5980.24</v>
      </c>
    </row>
    <row r="281" spans="2:9" s="46" customFormat="1" ht="20.25" x14ac:dyDescent="0.3">
      <c r="B281" s="67">
        <v>11</v>
      </c>
      <c r="C281" s="94">
        <v>45099</v>
      </c>
      <c r="D281" s="94">
        <f>+C281</f>
        <v>45099</v>
      </c>
      <c r="E281" s="106" t="s">
        <v>567</v>
      </c>
      <c r="F281" s="57" t="s">
        <v>568</v>
      </c>
      <c r="G281" s="69">
        <v>20</v>
      </c>
      <c r="H281" s="69">
        <v>17868.5</v>
      </c>
    </row>
    <row r="282" spans="2:9" s="46" customFormat="1" ht="15" customHeight="1" thickBot="1" x14ac:dyDescent="0.35">
      <c r="B282" s="59"/>
      <c r="C282" s="94"/>
      <c r="D282" s="94"/>
      <c r="E282" s="95"/>
      <c r="F282" s="57"/>
      <c r="G282" s="49"/>
      <c r="H282" s="49"/>
    </row>
    <row r="283" spans="2:9" ht="21" thickBot="1" x14ac:dyDescent="0.35">
      <c r="G283" s="54"/>
      <c r="H283" s="89">
        <f>SUM(H271:H281)</f>
        <v>111624.34000000001</v>
      </c>
    </row>
    <row r="284" spans="2:9" ht="15.75" thickBot="1" x14ac:dyDescent="0.3"/>
    <row r="285" spans="2:9" ht="32.25" thickBot="1" x14ac:dyDescent="0.55000000000000004">
      <c r="B285" s="81" t="s">
        <v>456</v>
      </c>
      <c r="C285" s="81"/>
      <c r="D285" s="81"/>
      <c r="E285" s="81"/>
      <c r="F285" s="81"/>
      <c r="G285" s="109"/>
      <c r="H285" s="89">
        <f>+H283+H268+H229+H181</f>
        <v>957601.31850109552</v>
      </c>
    </row>
    <row r="290" spans="2:8" ht="27" x14ac:dyDescent="0.35">
      <c r="B290" s="80" t="s">
        <v>449</v>
      </c>
      <c r="C290" s="80"/>
      <c r="D290" s="80"/>
      <c r="E290" s="78"/>
      <c r="G290" s="80" t="s">
        <v>457</v>
      </c>
      <c r="H290" s="80"/>
    </row>
    <row r="291" spans="2:8" ht="27.75" x14ac:dyDescent="0.4">
      <c r="B291" s="79" t="s">
        <v>447</v>
      </c>
      <c r="C291" s="79"/>
      <c r="D291" s="79"/>
      <c r="E291" s="77"/>
      <c r="G291" s="79" t="s">
        <v>458</v>
      </c>
      <c r="H291" s="79"/>
    </row>
    <row r="292" spans="2:8" ht="27.75" x14ac:dyDescent="0.4">
      <c r="B292" s="79" t="s">
        <v>448</v>
      </c>
      <c r="C292" s="79"/>
      <c r="D292" s="79"/>
      <c r="E292" s="77"/>
      <c r="G292" s="110" t="s">
        <v>459</v>
      </c>
      <c r="H292" s="110"/>
    </row>
  </sheetData>
  <autoFilter ref="E231:H231" xr:uid="{BF497F7F-7999-4E78-8F93-C33F743DA69E}"/>
  <sortState ref="B10:H179">
    <sortCondition ref="F10:F179"/>
  </sortState>
  <mergeCells count="15">
    <mergeCell ref="G291:H291"/>
    <mergeCell ref="G292:H292"/>
    <mergeCell ref="B3:H3"/>
    <mergeCell ref="B4:H4"/>
    <mergeCell ref="B5:H5"/>
    <mergeCell ref="B6:H6"/>
    <mergeCell ref="G290:H290"/>
    <mergeCell ref="B8:H8"/>
    <mergeCell ref="B182:H182"/>
    <mergeCell ref="B230:H230"/>
    <mergeCell ref="B269:H269"/>
    <mergeCell ref="B292:D292"/>
    <mergeCell ref="B291:D291"/>
    <mergeCell ref="B290:D290"/>
    <mergeCell ref="B285:G285"/>
  </mergeCells>
  <pageMargins left="0.70866141732283472" right="0.70866141732283472" top="0.74803149606299213" bottom="0.74803149606299213" header="0.31496062992125984" footer="0.31496062992125984"/>
  <pageSetup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8D1DA-693F-466E-A17D-D1857F55D3E4}">
  <sheetPr>
    <pageSetUpPr fitToPage="1"/>
  </sheetPr>
  <dimension ref="A1:S251"/>
  <sheetViews>
    <sheetView showGridLines="0" topLeftCell="A73" zoomScale="58" zoomScaleNormal="58" workbookViewId="0">
      <selection activeCell="J255" sqref="J255"/>
    </sheetView>
  </sheetViews>
  <sheetFormatPr baseColWidth="10" defaultColWidth="11.42578125" defaultRowHeight="15" x14ac:dyDescent="0.25"/>
  <cols>
    <col min="1" max="1" width="7.42578125" style="1" bestFit="1" customWidth="1"/>
    <col min="2" max="2" width="22.7109375" style="4" bestFit="1" customWidth="1"/>
    <col min="3" max="3" width="30.28515625" style="4" hidden="1" customWidth="1"/>
    <col min="4" max="4" width="38.85546875" style="4" customWidth="1"/>
    <col min="5" max="5" width="105.42578125" style="4" customWidth="1"/>
    <col min="6" max="6" width="36.5703125" style="8" customWidth="1"/>
    <col min="7" max="7" width="36.42578125" style="8" customWidth="1"/>
    <col min="8" max="8" width="21.7109375" style="4" customWidth="1"/>
    <col min="9" max="9" width="23.5703125" style="5" customWidth="1"/>
    <col min="10" max="10" width="24.5703125" style="4" customWidth="1"/>
    <col min="11" max="11" width="24.28515625" style="4" customWidth="1"/>
    <col min="12" max="12" width="22.85546875" style="4" bestFit="1" customWidth="1"/>
    <col min="13" max="13" width="22.5703125" style="4" customWidth="1"/>
    <col min="14" max="14" width="16.7109375" style="4" bestFit="1" customWidth="1"/>
    <col min="15" max="15" width="26.42578125" style="4" customWidth="1"/>
    <col min="16" max="16" width="23.28515625" style="4" customWidth="1"/>
    <col min="17" max="17" width="21.85546875" style="4" customWidth="1"/>
    <col min="18" max="18" width="13.5703125" style="4" customWidth="1"/>
    <col min="19" max="19" width="11.42578125" style="4" customWidth="1"/>
    <col min="20" max="16384" width="11.42578125" style="4"/>
  </cols>
  <sheetData>
    <row r="1" spans="1:19" ht="28.5" x14ac:dyDescent="0.45">
      <c r="B1" s="2"/>
      <c r="C1" s="2"/>
      <c r="D1" s="2"/>
      <c r="E1" s="2"/>
      <c r="F1" s="3"/>
      <c r="G1" s="3"/>
    </row>
    <row r="2" spans="1:19" ht="23.25" x14ac:dyDescent="0.35">
      <c r="B2" s="83" t="s">
        <v>242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6"/>
    </row>
    <row r="3" spans="1:19" ht="23.25" x14ac:dyDescent="0.35">
      <c r="B3" s="84" t="s">
        <v>294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6"/>
    </row>
    <row r="4" spans="1:19" ht="23.25" x14ac:dyDescent="0.35">
      <c r="B4" s="84" t="s">
        <v>461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6"/>
    </row>
    <row r="5" spans="1:19" ht="23.25" x14ac:dyDescent="0.35">
      <c r="B5" s="83" t="s">
        <v>297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6"/>
    </row>
    <row r="6" spans="1:19" ht="30" customHeight="1" x14ac:dyDescent="0.3">
      <c r="B6" s="7"/>
      <c r="C6" s="7"/>
      <c r="D6" s="7"/>
      <c r="E6" s="7"/>
      <c r="H6" s="85"/>
      <c r="I6" s="86"/>
      <c r="J6" s="87" t="s">
        <v>157</v>
      </c>
      <c r="K6" s="87"/>
      <c r="L6" s="34" t="s">
        <v>157</v>
      </c>
      <c r="M6" s="34"/>
      <c r="N6" s="34" t="s">
        <v>158</v>
      </c>
      <c r="O6" s="34" t="s">
        <v>159</v>
      </c>
      <c r="P6" s="9"/>
      <c r="Q6" s="34"/>
    </row>
    <row r="7" spans="1:19" s="12" customFormat="1" ht="20.25" x14ac:dyDescent="0.3">
      <c r="A7" s="10"/>
      <c r="B7" s="11" t="s">
        <v>322</v>
      </c>
      <c r="C7" s="11" t="s">
        <v>241</v>
      </c>
      <c r="D7" s="11" t="s">
        <v>318</v>
      </c>
      <c r="E7" s="11" t="s">
        <v>161</v>
      </c>
      <c r="F7" s="11" t="s">
        <v>159</v>
      </c>
      <c r="G7" s="11" t="s">
        <v>160</v>
      </c>
      <c r="H7" s="34" t="s">
        <v>162</v>
      </c>
      <c r="I7" s="34" t="s">
        <v>163</v>
      </c>
      <c r="J7" s="34" t="s">
        <v>164</v>
      </c>
      <c r="K7" s="34" t="s">
        <v>165</v>
      </c>
      <c r="L7" s="34" t="s">
        <v>166</v>
      </c>
      <c r="M7" s="34" t="s">
        <v>167</v>
      </c>
      <c r="N7" s="34" t="s">
        <v>158</v>
      </c>
      <c r="O7" s="34" t="s">
        <v>159</v>
      </c>
      <c r="P7" s="34" t="s">
        <v>160</v>
      </c>
      <c r="Q7" s="34" t="s">
        <v>168</v>
      </c>
    </row>
    <row r="8" spans="1:19" s="19" customFormat="1" ht="20.25" x14ac:dyDescent="0.3">
      <c r="A8" s="6">
        <v>1</v>
      </c>
      <c r="B8" s="13">
        <v>43252</v>
      </c>
      <c r="C8" s="13">
        <v>43253</v>
      </c>
      <c r="D8" s="14" t="s">
        <v>2</v>
      </c>
      <c r="E8" s="14" t="s">
        <v>3</v>
      </c>
      <c r="F8" s="15">
        <f>$I8-$N8</f>
        <v>7</v>
      </c>
      <c r="G8" s="15">
        <f t="shared" ref="G8:G71" si="0">$O8*$L8</f>
        <v>8948.3333333333067</v>
      </c>
      <c r="H8" s="6" t="s">
        <v>169</v>
      </c>
      <c r="I8" s="16">
        <v>9</v>
      </c>
      <c r="J8" s="17">
        <v>1083.3333333333301</v>
      </c>
      <c r="K8" s="17">
        <f>+J8*18%</f>
        <v>194.9999999999994</v>
      </c>
      <c r="L8" s="17">
        <f>+J8+K8</f>
        <v>1278.3333333333294</v>
      </c>
      <c r="M8" s="17">
        <f>$I8*$L8</f>
        <v>11504.999999999964</v>
      </c>
      <c r="N8" s="17">
        <f>1+1</f>
        <v>2</v>
      </c>
      <c r="O8" s="17">
        <f>$I8-$N8</f>
        <v>7</v>
      </c>
      <c r="P8" s="17">
        <f t="shared" ref="P8:P71" si="1">$O8*$L8</f>
        <v>8948.3333333333067</v>
      </c>
      <c r="Q8" s="6"/>
      <c r="R8" s="18">
        <f>P8/O8</f>
        <v>1278.3333333333296</v>
      </c>
    </row>
    <row r="9" spans="1:19" s="19" customFormat="1" ht="20.25" x14ac:dyDescent="0.3">
      <c r="A9" s="6">
        <f>A8+1</f>
        <v>2</v>
      </c>
      <c r="B9" s="13">
        <v>43830</v>
      </c>
      <c r="C9" s="13">
        <v>43858</v>
      </c>
      <c r="D9" s="14" t="s">
        <v>1</v>
      </c>
      <c r="E9" s="14" t="s">
        <v>284</v>
      </c>
      <c r="F9" s="15">
        <f t="shared" ref="F9:F55" si="2">$I9-$N9</f>
        <v>2</v>
      </c>
      <c r="G9" s="15">
        <f t="shared" si="0"/>
        <v>800.04</v>
      </c>
      <c r="H9" s="6" t="s">
        <v>170</v>
      </c>
      <c r="I9" s="16">
        <v>10</v>
      </c>
      <c r="J9" s="17">
        <v>339</v>
      </c>
      <c r="K9" s="17">
        <f t="shared" ref="K9:K82" si="3">+J9*18%</f>
        <v>61.019999999999996</v>
      </c>
      <c r="L9" s="17">
        <f t="shared" ref="L9:L82" si="4">+J9+K9</f>
        <v>400.02</v>
      </c>
      <c r="M9" s="17">
        <f t="shared" ref="M9:M72" si="5">$I9*$L9</f>
        <v>4000.2</v>
      </c>
      <c r="N9" s="17">
        <v>8</v>
      </c>
      <c r="O9" s="17">
        <f t="shared" ref="O9:O55" si="6">$I9-$N9</f>
        <v>2</v>
      </c>
      <c r="P9" s="17">
        <f t="shared" si="1"/>
        <v>800.04</v>
      </c>
      <c r="Q9" s="6"/>
      <c r="R9" s="18">
        <f>P9/O9</f>
        <v>400.02</v>
      </c>
    </row>
    <row r="10" spans="1:19" s="19" customFormat="1" ht="20.25" x14ac:dyDescent="0.3">
      <c r="A10" s="6">
        <f t="shared" ref="A10:A73" si="7">A9+1</f>
        <v>3</v>
      </c>
      <c r="B10" s="13" t="s">
        <v>324</v>
      </c>
      <c r="C10" s="13" t="s">
        <v>325</v>
      </c>
      <c r="D10" s="14" t="s">
        <v>355</v>
      </c>
      <c r="E10" s="14" t="s">
        <v>357</v>
      </c>
      <c r="F10" s="15">
        <f t="shared" si="2"/>
        <v>10</v>
      </c>
      <c r="G10" s="15">
        <f t="shared" si="0"/>
        <v>5015</v>
      </c>
      <c r="H10" s="6" t="s">
        <v>169</v>
      </c>
      <c r="I10" s="16">
        <v>10</v>
      </c>
      <c r="J10" s="17">
        <v>425</v>
      </c>
      <c r="K10" s="17">
        <f t="shared" si="3"/>
        <v>76.5</v>
      </c>
      <c r="L10" s="17">
        <f t="shared" si="4"/>
        <v>501.5</v>
      </c>
      <c r="M10" s="17">
        <f t="shared" si="5"/>
        <v>5015</v>
      </c>
      <c r="N10" s="17">
        <v>0</v>
      </c>
      <c r="O10" s="17">
        <f t="shared" si="6"/>
        <v>10</v>
      </c>
      <c r="P10" s="17">
        <f t="shared" si="1"/>
        <v>5015</v>
      </c>
      <c r="Q10" s="6" t="s">
        <v>330</v>
      </c>
      <c r="R10" s="18"/>
      <c r="S10" s="20"/>
    </row>
    <row r="11" spans="1:19" s="19" customFormat="1" ht="20.25" x14ac:dyDescent="0.3">
      <c r="A11" s="6">
        <f t="shared" si="7"/>
        <v>4</v>
      </c>
      <c r="B11" s="13" t="s">
        <v>324</v>
      </c>
      <c r="C11" s="13" t="s">
        <v>325</v>
      </c>
      <c r="D11" s="14" t="s">
        <v>356</v>
      </c>
      <c r="E11" s="14" t="s">
        <v>358</v>
      </c>
      <c r="F11" s="15">
        <f t="shared" si="2"/>
        <v>15</v>
      </c>
      <c r="G11" s="15">
        <f t="shared" si="0"/>
        <v>1947.0000000000002</v>
      </c>
      <c r="H11" s="6" t="s">
        <v>169</v>
      </c>
      <c r="I11" s="16">
        <v>15</v>
      </c>
      <c r="J11" s="17">
        <v>110</v>
      </c>
      <c r="K11" s="17">
        <f t="shared" si="3"/>
        <v>19.8</v>
      </c>
      <c r="L11" s="17">
        <f t="shared" si="4"/>
        <v>129.80000000000001</v>
      </c>
      <c r="M11" s="17">
        <f t="shared" si="5"/>
        <v>1947.0000000000002</v>
      </c>
      <c r="N11" s="17">
        <v>0</v>
      </c>
      <c r="O11" s="17">
        <f t="shared" si="6"/>
        <v>15</v>
      </c>
      <c r="P11" s="17">
        <f t="shared" si="1"/>
        <v>1947.0000000000002</v>
      </c>
      <c r="Q11" s="6" t="s">
        <v>330</v>
      </c>
      <c r="R11" s="18"/>
      <c r="S11" s="20"/>
    </row>
    <row r="12" spans="1:19" s="19" customFormat="1" ht="20.25" x14ac:dyDescent="0.3">
      <c r="A12" s="6">
        <f t="shared" si="7"/>
        <v>5</v>
      </c>
      <c r="B12" s="13">
        <v>43252</v>
      </c>
      <c r="C12" s="13">
        <v>43254</v>
      </c>
      <c r="D12" s="14" t="s">
        <v>0</v>
      </c>
      <c r="E12" s="14" t="s">
        <v>323</v>
      </c>
      <c r="F12" s="15">
        <f t="shared" si="2"/>
        <v>24</v>
      </c>
      <c r="G12" s="15">
        <f t="shared" si="0"/>
        <v>566.40000000000009</v>
      </c>
      <c r="H12" s="6" t="s">
        <v>169</v>
      </c>
      <c r="I12" s="16">
        <v>24</v>
      </c>
      <c r="J12" s="17">
        <v>20</v>
      </c>
      <c r="K12" s="17">
        <f t="shared" si="3"/>
        <v>3.5999999999999996</v>
      </c>
      <c r="L12" s="17">
        <f t="shared" si="4"/>
        <v>23.6</v>
      </c>
      <c r="M12" s="17">
        <f t="shared" si="5"/>
        <v>566.40000000000009</v>
      </c>
      <c r="N12" s="17"/>
      <c r="O12" s="17">
        <f t="shared" si="6"/>
        <v>24</v>
      </c>
      <c r="P12" s="17">
        <f t="shared" si="1"/>
        <v>566.40000000000009</v>
      </c>
      <c r="Q12" s="6"/>
      <c r="R12" s="18">
        <f>P12/O12</f>
        <v>23.600000000000005</v>
      </c>
    </row>
    <row r="13" spans="1:19" s="19" customFormat="1" ht="20.25" x14ac:dyDescent="0.3">
      <c r="A13" s="6">
        <f t="shared" si="7"/>
        <v>6</v>
      </c>
      <c r="B13" s="13" t="s">
        <v>324</v>
      </c>
      <c r="C13" s="13" t="s">
        <v>325</v>
      </c>
      <c r="D13" s="14" t="s">
        <v>298</v>
      </c>
      <c r="E13" s="14" t="s">
        <v>362</v>
      </c>
      <c r="F13" s="15">
        <f t="shared" si="2"/>
        <v>6</v>
      </c>
      <c r="G13" s="15">
        <f t="shared" si="0"/>
        <v>4602</v>
      </c>
      <c r="H13" s="6" t="s">
        <v>169</v>
      </c>
      <c r="I13" s="16">
        <v>10</v>
      </c>
      <c r="J13" s="17">
        <v>650</v>
      </c>
      <c r="K13" s="17">
        <f t="shared" si="3"/>
        <v>117</v>
      </c>
      <c r="L13" s="17">
        <f t="shared" si="4"/>
        <v>767</v>
      </c>
      <c r="M13" s="17">
        <f t="shared" si="5"/>
        <v>7670</v>
      </c>
      <c r="N13" s="17">
        <v>4</v>
      </c>
      <c r="O13" s="17">
        <f t="shared" si="6"/>
        <v>6</v>
      </c>
      <c r="P13" s="17">
        <f t="shared" si="1"/>
        <v>4602</v>
      </c>
      <c r="Q13" s="6" t="s">
        <v>330</v>
      </c>
      <c r="R13" s="18"/>
      <c r="S13" s="20"/>
    </row>
    <row r="14" spans="1:19" s="19" customFormat="1" ht="20.25" x14ac:dyDescent="0.3">
      <c r="A14" s="6">
        <f t="shared" si="7"/>
        <v>7</v>
      </c>
      <c r="B14" s="13">
        <v>43252</v>
      </c>
      <c r="C14" s="13">
        <v>43254</v>
      </c>
      <c r="D14" s="14" t="s">
        <v>171</v>
      </c>
      <c r="E14" s="14" t="s">
        <v>172</v>
      </c>
      <c r="F14" s="15">
        <f t="shared" si="2"/>
        <v>4</v>
      </c>
      <c r="G14" s="15">
        <f t="shared" si="0"/>
        <v>2124</v>
      </c>
      <c r="H14" s="6" t="s">
        <v>169</v>
      </c>
      <c r="I14" s="16">
        <v>5</v>
      </c>
      <c r="J14" s="17">
        <v>450</v>
      </c>
      <c r="K14" s="17">
        <f t="shared" si="3"/>
        <v>81</v>
      </c>
      <c r="L14" s="17">
        <f t="shared" si="4"/>
        <v>531</v>
      </c>
      <c r="M14" s="17">
        <f t="shared" si="5"/>
        <v>2655</v>
      </c>
      <c r="N14" s="17">
        <v>1</v>
      </c>
      <c r="O14" s="17">
        <f t="shared" si="6"/>
        <v>4</v>
      </c>
      <c r="P14" s="17">
        <f t="shared" si="1"/>
        <v>2124</v>
      </c>
      <c r="R14" s="18">
        <f>P14/O14</f>
        <v>531</v>
      </c>
    </row>
    <row r="15" spans="1:19" s="19" customFormat="1" ht="20.25" x14ac:dyDescent="0.3">
      <c r="A15" s="6">
        <f t="shared" si="7"/>
        <v>8</v>
      </c>
      <c r="B15" s="13">
        <v>43609</v>
      </c>
      <c r="C15" s="13">
        <v>43612</v>
      </c>
      <c r="D15" s="14" t="s">
        <v>291</v>
      </c>
      <c r="E15" s="14" t="s">
        <v>236</v>
      </c>
      <c r="F15" s="15">
        <f t="shared" si="2"/>
        <v>5</v>
      </c>
      <c r="G15" s="15">
        <f t="shared" si="0"/>
        <v>2655</v>
      </c>
      <c r="H15" s="6" t="s">
        <v>169</v>
      </c>
      <c r="I15" s="16">
        <v>5</v>
      </c>
      <c r="J15" s="17">
        <v>450</v>
      </c>
      <c r="K15" s="17">
        <f>+J15*18%</f>
        <v>81</v>
      </c>
      <c r="L15" s="17">
        <f>+J15+K15</f>
        <v>531</v>
      </c>
      <c r="M15" s="17">
        <f t="shared" si="5"/>
        <v>2655</v>
      </c>
      <c r="N15" s="17">
        <v>0</v>
      </c>
      <c r="O15" s="17">
        <f t="shared" si="6"/>
        <v>5</v>
      </c>
      <c r="P15" s="17">
        <f t="shared" si="1"/>
        <v>2655</v>
      </c>
      <c r="Q15" s="6" t="s">
        <v>210</v>
      </c>
      <c r="R15" s="18">
        <f>P15/O15</f>
        <v>531</v>
      </c>
    </row>
    <row r="16" spans="1:19" s="19" customFormat="1" ht="20.25" x14ac:dyDescent="0.3">
      <c r="A16" s="6">
        <f t="shared" si="7"/>
        <v>9</v>
      </c>
      <c r="B16" s="13" t="s">
        <v>324</v>
      </c>
      <c r="C16" s="13" t="s">
        <v>325</v>
      </c>
      <c r="D16" s="14" t="s">
        <v>171</v>
      </c>
      <c r="E16" s="14" t="s">
        <v>346</v>
      </c>
      <c r="F16" s="15">
        <f t="shared" si="2"/>
        <v>2</v>
      </c>
      <c r="G16" s="15">
        <f t="shared" si="0"/>
        <v>1357</v>
      </c>
      <c r="H16" s="6" t="s">
        <v>169</v>
      </c>
      <c r="I16" s="16">
        <v>2</v>
      </c>
      <c r="J16" s="17">
        <v>575</v>
      </c>
      <c r="K16" s="17">
        <f t="shared" ref="K16:K18" si="8">+J16*18%</f>
        <v>103.5</v>
      </c>
      <c r="L16" s="17">
        <f t="shared" si="4"/>
        <v>678.5</v>
      </c>
      <c r="M16" s="17">
        <f t="shared" si="5"/>
        <v>1357</v>
      </c>
      <c r="N16" s="17">
        <v>0</v>
      </c>
      <c r="O16" s="17">
        <f t="shared" si="6"/>
        <v>2</v>
      </c>
      <c r="P16" s="17">
        <f t="shared" si="1"/>
        <v>1357</v>
      </c>
      <c r="Q16" s="6" t="s">
        <v>330</v>
      </c>
      <c r="R16" s="18"/>
      <c r="S16" s="20"/>
    </row>
    <row r="17" spans="1:18" s="19" customFormat="1" ht="20.25" x14ac:dyDescent="0.3">
      <c r="A17" s="6">
        <f t="shared" si="7"/>
        <v>10</v>
      </c>
      <c r="B17" s="13" t="s">
        <v>324</v>
      </c>
      <c r="C17" s="13" t="s">
        <v>325</v>
      </c>
      <c r="D17" s="14" t="s">
        <v>291</v>
      </c>
      <c r="E17" s="14" t="s">
        <v>348</v>
      </c>
      <c r="F17" s="15">
        <f t="shared" si="2"/>
        <v>2</v>
      </c>
      <c r="G17" s="15">
        <f t="shared" si="0"/>
        <v>1640.2</v>
      </c>
      <c r="H17" s="6" t="s">
        <v>169</v>
      </c>
      <c r="I17" s="16">
        <v>2</v>
      </c>
      <c r="J17" s="17">
        <v>695</v>
      </c>
      <c r="K17" s="17">
        <f t="shared" si="8"/>
        <v>125.1</v>
      </c>
      <c r="L17" s="17">
        <f t="shared" si="4"/>
        <v>820.1</v>
      </c>
      <c r="M17" s="17">
        <f t="shared" si="5"/>
        <v>1640.2</v>
      </c>
      <c r="N17" s="17">
        <v>0</v>
      </c>
      <c r="O17" s="17">
        <f t="shared" si="6"/>
        <v>2</v>
      </c>
      <c r="P17" s="17">
        <f t="shared" si="1"/>
        <v>1640.2</v>
      </c>
      <c r="Q17" s="6" t="s">
        <v>330</v>
      </c>
      <c r="R17" s="18"/>
    </row>
    <row r="18" spans="1:18" s="19" customFormat="1" ht="20.25" x14ac:dyDescent="0.3">
      <c r="A18" s="6">
        <f t="shared" si="7"/>
        <v>11</v>
      </c>
      <c r="B18" s="13" t="s">
        <v>324</v>
      </c>
      <c r="C18" s="13" t="s">
        <v>325</v>
      </c>
      <c r="D18" s="14" t="s">
        <v>347</v>
      </c>
      <c r="E18" s="14" t="s">
        <v>349</v>
      </c>
      <c r="F18" s="15">
        <f t="shared" si="2"/>
        <v>2</v>
      </c>
      <c r="G18" s="15">
        <f t="shared" si="0"/>
        <v>1711</v>
      </c>
      <c r="H18" s="6" t="s">
        <v>169</v>
      </c>
      <c r="I18" s="16">
        <v>2</v>
      </c>
      <c r="J18" s="17">
        <v>725</v>
      </c>
      <c r="K18" s="17">
        <f t="shared" si="8"/>
        <v>130.5</v>
      </c>
      <c r="L18" s="17">
        <f t="shared" si="4"/>
        <v>855.5</v>
      </c>
      <c r="M18" s="17">
        <f t="shared" si="5"/>
        <v>1711</v>
      </c>
      <c r="N18" s="17">
        <v>0</v>
      </c>
      <c r="O18" s="17">
        <f t="shared" si="6"/>
        <v>2</v>
      </c>
      <c r="P18" s="17">
        <f t="shared" si="1"/>
        <v>1711</v>
      </c>
      <c r="Q18" s="6" t="s">
        <v>330</v>
      </c>
      <c r="R18" s="18"/>
    </row>
    <row r="19" spans="1:18" ht="20.25" x14ac:dyDescent="0.3">
      <c r="A19" s="6">
        <f t="shared" si="7"/>
        <v>12</v>
      </c>
      <c r="B19" s="13" t="s">
        <v>369</v>
      </c>
      <c r="C19" s="13" t="s">
        <v>325</v>
      </c>
      <c r="D19" s="14" t="s">
        <v>4</v>
      </c>
      <c r="E19" s="14" t="s">
        <v>383</v>
      </c>
      <c r="F19" s="15">
        <f t="shared" si="2"/>
        <v>81</v>
      </c>
      <c r="G19" s="15">
        <f t="shared" si="0"/>
        <v>477.90000000000003</v>
      </c>
      <c r="H19" s="6" t="s">
        <v>169</v>
      </c>
      <c r="I19" s="5">
        <v>90</v>
      </c>
      <c r="J19" s="17">
        <v>5</v>
      </c>
      <c r="K19" s="17">
        <f>+J19*18%</f>
        <v>0.89999999999999991</v>
      </c>
      <c r="L19" s="17">
        <f>+J19+K19</f>
        <v>5.9</v>
      </c>
      <c r="M19" s="17">
        <f>$I19*$L19</f>
        <v>531</v>
      </c>
      <c r="N19" s="17">
        <f>2+1+1+1+1+1+2</f>
        <v>9</v>
      </c>
      <c r="O19" s="17">
        <f t="shared" si="6"/>
        <v>81</v>
      </c>
      <c r="P19" s="17">
        <f t="shared" si="1"/>
        <v>477.90000000000003</v>
      </c>
      <c r="Q19" s="6" t="s">
        <v>368</v>
      </c>
    </row>
    <row r="20" spans="1:18" s="19" customFormat="1" ht="20.25" x14ac:dyDescent="0.3">
      <c r="A20" s="6">
        <f t="shared" si="7"/>
        <v>13</v>
      </c>
      <c r="B20" s="13">
        <v>43657</v>
      </c>
      <c r="C20" s="13">
        <v>43677</v>
      </c>
      <c r="D20" s="14" t="s">
        <v>257</v>
      </c>
      <c r="E20" s="14" t="s">
        <v>258</v>
      </c>
      <c r="F20" s="15">
        <f t="shared" si="2"/>
        <v>196</v>
      </c>
      <c r="G20" s="15">
        <f t="shared" si="0"/>
        <v>1665.2160000000001</v>
      </c>
      <c r="H20" s="6" t="s">
        <v>169</v>
      </c>
      <c r="I20" s="16">
        <v>600</v>
      </c>
      <c r="J20" s="17">
        <v>7.2</v>
      </c>
      <c r="K20" s="17">
        <f>+J20*18%</f>
        <v>1.296</v>
      </c>
      <c r="L20" s="17">
        <f t="shared" ref="L20" si="9">+J20+K20</f>
        <v>8.4960000000000004</v>
      </c>
      <c r="M20" s="17">
        <f t="shared" si="5"/>
        <v>5097.6000000000004</v>
      </c>
      <c r="N20" s="17">
        <f>200+150+20+34</f>
        <v>404</v>
      </c>
      <c r="O20" s="17">
        <f t="shared" si="6"/>
        <v>196</v>
      </c>
      <c r="P20" s="17">
        <f t="shared" si="1"/>
        <v>1665.2160000000001</v>
      </c>
      <c r="Q20" s="6" t="s">
        <v>256</v>
      </c>
      <c r="R20" s="18">
        <f t="shared" ref="R20:R31" si="10">P20/O20</f>
        <v>8.4960000000000004</v>
      </c>
    </row>
    <row r="21" spans="1:18" s="19" customFormat="1" ht="20.25" x14ac:dyDescent="0.3">
      <c r="A21" s="6">
        <f t="shared" si="7"/>
        <v>14</v>
      </c>
      <c r="B21" s="13">
        <v>43252</v>
      </c>
      <c r="C21" s="13">
        <v>43254</v>
      </c>
      <c r="D21" s="14" t="s">
        <v>5</v>
      </c>
      <c r="E21" s="14" t="s">
        <v>6</v>
      </c>
      <c r="F21" s="15">
        <f t="shared" si="2"/>
        <v>74</v>
      </c>
      <c r="G21" s="15">
        <f>$O21*$L21</f>
        <v>698.56</v>
      </c>
      <c r="H21" s="6" t="s">
        <v>173</v>
      </c>
      <c r="I21" s="16">
        <v>77</v>
      </c>
      <c r="J21" s="17">
        <v>8</v>
      </c>
      <c r="K21" s="17">
        <f t="shared" si="3"/>
        <v>1.44</v>
      </c>
      <c r="L21" s="17">
        <f t="shared" si="4"/>
        <v>9.44</v>
      </c>
      <c r="M21" s="17">
        <f t="shared" si="5"/>
        <v>726.88</v>
      </c>
      <c r="N21" s="17">
        <v>3</v>
      </c>
      <c r="O21" s="17">
        <f t="shared" si="6"/>
        <v>74</v>
      </c>
      <c r="P21" s="17">
        <f t="shared" si="1"/>
        <v>698.56</v>
      </c>
      <c r="Q21" s="17"/>
      <c r="R21" s="18">
        <f t="shared" si="10"/>
        <v>9.44</v>
      </c>
    </row>
    <row r="22" spans="1:18" s="19" customFormat="1" ht="21.75" customHeight="1" x14ac:dyDescent="0.3">
      <c r="A22" s="6">
        <f t="shared" si="7"/>
        <v>15</v>
      </c>
      <c r="B22" s="13">
        <v>43609</v>
      </c>
      <c r="C22" s="13">
        <v>43612</v>
      </c>
      <c r="D22" s="14" t="s">
        <v>286</v>
      </c>
      <c r="E22" s="21" t="s">
        <v>7</v>
      </c>
      <c r="F22" s="15">
        <f t="shared" si="2"/>
        <v>17</v>
      </c>
      <c r="G22" s="15">
        <f t="shared" si="0"/>
        <v>5015</v>
      </c>
      <c r="H22" s="6" t="s">
        <v>169</v>
      </c>
      <c r="I22" s="16">
        <v>20</v>
      </c>
      <c r="J22" s="17">
        <v>250</v>
      </c>
      <c r="K22" s="17">
        <f t="shared" si="3"/>
        <v>45</v>
      </c>
      <c r="L22" s="17">
        <f t="shared" si="4"/>
        <v>295</v>
      </c>
      <c r="M22" s="17">
        <f t="shared" si="5"/>
        <v>5900</v>
      </c>
      <c r="N22" s="17">
        <v>3</v>
      </c>
      <c r="O22" s="17">
        <f t="shared" si="6"/>
        <v>17</v>
      </c>
      <c r="P22" s="17">
        <f t="shared" si="1"/>
        <v>5015</v>
      </c>
      <c r="Q22" s="6" t="s">
        <v>210</v>
      </c>
      <c r="R22" s="18">
        <f t="shared" si="10"/>
        <v>295</v>
      </c>
    </row>
    <row r="23" spans="1:18" s="19" customFormat="1" ht="20.25" x14ac:dyDescent="0.3">
      <c r="A23" s="6">
        <f t="shared" si="7"/>
        <v>16</v>
      </c>
      <c r="B23" s="13">
        <v>43252</v>
      </c>
      <c r="C23" s="13">
        <v>43253</v>
      </c>
      <c r="D23" s="14" t="s">
        <v>410</v>
      </c>
      <c r="E23" s="14" t="s">
        <v>9</v>
      </c>
      <c r="F23" s="15">
        <f t="shared" si="2"/>
        <v>58</v>
      </c>
      <c r="G23" s="15">
        <f t="shared" si="0"/>
        <v>2737.6000000000004</v>
      </c>
      <c r="H23" s="6" t="s">
        <v>169</v>
      </c>
      <c r="I23" s="16">
        <v>62</v>
      </c>
      <c r="J23" s="17">
        <v>40</v>
      </c>
      <c r="K23" s="17">
        <f t="shared" si="3"/>
        <v>7.1999999999999993</v>
      </c>
      <c r="L23" s="17">
        <f t="shared" si="4"/>
        <v>47.2</v>
      </c>
      <c r="M23" s="17">
        <f t="shared" si="5"/>
        <v>2926.4</v>
      </c>
      <c r="N23" s="17">
        <f>3+1</f>
        <v>4</v>
      </c>
      <c r="O23" s="17">
        <f t="shared" si="6"/>
        <v>58</v>
      </c>
      <c r="P23" s="17">
        <f t="shared" si="1"/>
        <v>2737.6000000000004</v>
      </c>
      <c r="Q23" s="17"/>
      <c r="R23" s="18">
        <f t="shared" si="10"/>
        <v>47.2</v>
      </c>
    </row>
    <row r="24" spans="1:18" s="19" customFormat="1" ht="20.25" x14ac:dyDescent="0.3">
      <c r="A24" s="6">
        <f t="shared" si="7"/>
        <v>17</v>
      </c>
      <c r="B24" s="13">
        <v>43609</v>
      </c>
      <c r="C24" s="13">
        <v>43612</v>
      </c>
      <c r="D24" s="14" t="s">
        <v>8</v>
      </c>
      <c r="E24" s="14" t="s">
        <v>175</v>
      </c>
      <c r="F24" s="15">
        <f t="shared" si="2"/>
        <v>2</v>
      </c>
      <c r="G24" s="15">
        <f t="shared" si="0"/>
        <v>472</v>
      </c>
      <c r="H24" s="6" t="s">
        <v>169</v>
      </c>
      <c r="I24" s="16">
        <v>10</v>
      </c>
      <c r="J24" s="17">
        <v>200</v>
      </c>
      <c r="K24" s="17">
        <f t="shared" si="3"/>
        <v>36</v>
      </c>
      <c r="L24" s="17">
        <f t="shared" si="4"/>
        <v>236</v>
      </c>
      <c r="M24" s="17">
        <f t="shared" si="5"/>
        <v>2360</v>
      </c>
      <c r="N24" s="17">
        <f>1+1+1+4+1</f>
        <v>8</v>
      </c>
      <c r="O24" s="17">
        <f t="shared" si="6"/>
        <v>2</v>
      </c>
      <c r="P24" s="17">
        <f t="shared" si="1"/>
        <v>472</v>
      </c>
      <c r="Q24" s="6" t="s">
        <v>210</v>
      </c>
      <c r="R24" s="18">
        <f t="shared" si="10"/>
        <v>236</v>
      </c>
    </row>
    <row r="25" spans="1:18" s="19" customFormat="1" ht="20.25" x14ac:dyDescent="0.3">
      <c r="A25" s="6">
        <f t="shared" si="7"/>
        <v>18</v>
      </c>
      <c r="B25" s="13">
        <v>43609</v>
      </c>
      <c r="C25" s="13">
        <v>43612</v>
      </c>
      <c r="D25" s="14" t="s">
        <v>409</v>
      </c>
      <c r="E25" s="14" t="s">
        <v>243</v>
      </c>
      <c r="F25" s="15">
        <f t="shared" si="2"/>
        <v>-2</v>
      </c>
      <c r="G25" s="15">
        <f t="shared" si="0"/>
        <v>-708</v>
      </c>
      <c r="H25" s="6" t="s">
        <v>169</v>
      </c>
      <c r="I25" s="16">
        <v>15</v>
      </c>
      <c r="J25" s="17">
        <v>300</v>
      </c>
      <c r="K25" s="17">
        <f>+J25*18%</f>
        <v>54</v>
      </c>
      <c r="L25" s="17">
        <f>+J25+K25</f>
        <v>354</v>
      </c>
      <c r="M25" s="17">
        <f t="shared" si="5"/>
        <v>5310</v>
      </c>
      <c r="N25" s="17">
        <f>2+6+1+1+1+1+3+2</f>
        <v>17</v>
      </c>
      <c r="O25" s="17">
        <f t="shared" si="6"/>
        <v>-2</v>
      </c>
      <c r="P25" s="17">
        <f t="shared" si="1"/>
        <v>-708</v>
      </c>
      <c r="Q25" s="6" t="s">
        <v>210</v>
      </c>
      <c r="R25" s="18">
        <f t="shared" si="10"/>
        <v>354</v>
      </c>
    </row>
    <row r="26" spans="1:18" s="19" customFormat="1" ht="20.25" x14ac:dyDescent="0.3">
      <c r="A26" s="6">
        <f t="shared" si="7"/>
        <v>19</v>
      </c>
      <c r="B26" s="13">
        <v>43609</v>
      </c>
      <c r="C26" s="13">
        <v>43612</v>
      </c>
      <c r="D26" s="14" t="s">
        <v>10</v>
      </c>
      <c r="E26" s="14" t="s">
        <v>244</v>
      </c>
      <c r="F26" s="15">
        <f t="shared" si="2"/>
        <v>0</v>
      </c>
      <c r="G26" s="15">
        <f t="shared" si="0"/>
        <v>0</v>
      </c>
      <c r="H26" s="6" t="s">
        <v>169</v>
      </c>
      <c r="I26" s="16">
        <v>25</v>
      </c>
      <c r="J26" s="17">
        <v>400</v>
      </c>
      <c r="K26" s="17">
        <f>+J26*18%</f>
        <v>72</v>
      </c>
      <c r="L26" s="17">
        <f>+J26+K26</f>
        <v>472</v>
      </c>
      <c r="M26" s="17">
        <f>$I26*$L26</f>
        <v>11800</v>
      </c>
      <c r="N26" s="17">
        <f>2+20+1+1+1</f>
        <v>25</v>
      </c>
      <c r="O26" s="31">
        <f t="shared" si="6"/>
        <v>0</v>
      </c>
      <c r="P26" s="17">
        <f t="shared" si="1"/>
        <v>0</v>
      </c>
      <c r="Q26" s="6" t="s">
        <v>210</v>
      </c>
      <c r="R26" s="18" t="e">
        <f t="shared" si="10"/>
        <v>#DIV/0!</v>
      </c>
    </row>
    <row r="27" spans="1:18" s="19" customFormat="1" ht="20.25" x14ac:dyDescent="0.3">
      <c r="A27" s="6">
        <f t="shared" si="7"/>
        <v>20</v>
      </c>
      <c r="B27" s="13">
        <v>43252</v>
      </c>
      <c r="C27" s="13">
        <v>43253</v>
      </c>
      <c r="D27" s="14" t="s">
        <v>409</v>
      </c>
      <c r="E27" s="14" t="s">
        <v>319</v>
      </c>
      <c r="F27" s="15">
        <f t="shared" si="2"/>
        <v>12</v>
      </c>
      <c r="G27" s="15">
        <f t="shared" si="0"/>
        <v>4248</v>
      </c>
      <c r="H27" s="6" t="s">
        <v>169</v>
      </c>
      <c r="I27" s="16">
        <v>15</v>
      </c>
      <c r="J27" s="17">
        <v>300</v>
      </c>
      <c r="K27" s="17">
        <f t="shared" ref="K27" si="11">+J27*18%</f>
        <v>54</v>
      </c>
      <c r="L27" s="17">
        <f t="shared" ref="L27" si="12">+J27+K27</f>
        <v>354</v>
      </c>
      <c r="M27" s="17">
        <f t="shared" si="5"/>
        <v>5310</v>
      </c>
      <c r="N27" s="17">
        <v>3</v>
      </c>
      <c r="O27" s="17">
        <f t="shared" si="6"/>
        <v>12</v>
      </c>
      <c r="P27" s="17">
        <f t="shared" si="1"/>
        <v>4248</v>
      </c>
      <c r="Q27" s="6"/>
      <c r="R27" s="18">
        <f t="shared" si="10"/>
        <v>354</v>
      </c>
    </row>
    <row r="28" spans="1:18" s="19" customFormat="1" ht="20.25" x14ac:dyDescent="0.3">
      <c r="A28" s="6">
        <f t="shared" si="7"/>
        <v>21</v>
      </c>
      <c r="B28" s="13">
        <v>43252</v>
      </c>
      <c r="C28" s="13">
        <v>43253</v>
      </c>
      <c r="D28" s="14" t="s">
        <v>11</v>
      </c>
      <c r="E28" s="14" t="s">
        <v>177</v>
      </c>
      <c r="F28" s="15">
        <f t="shared" si="2"/>
        <v>2</v>
      </c>
      <c r="G28" s="15">
        <f t="shared" si="0"/>
        <v>1652</v>
      </c>
      <c r="H28" s="6" t="s">
        <v>169</v>
      </c>
      <c r="I28" s="16">
        <v>35</v>
      </c>
      <c r="J28" s="17">
        <v>700</v>
      </c>
      <c r="K28" s="17">
        <f t="shared" si="3"/>
        <v>126</v>
      </c>
      <c r="L28" s="17">
        <f t="shared" si="4"/>
        <v>826</v>
      </c>
      <c r="M28" s="17">
        <f t="shared" si="5"/>
        <v>28910</v>
      </c>
      <c r="N28" s="17">
        <f>10+2+2+3+1+1+3+1+3+1+3+1+1+1</f>
        <v>33</v>
      </c>
      <c r="O28" s="17">
        <f t="shared" si="6"/>
        <v>2</v>
      </c>
      <c r="P28" s="17">
        <f t="shared" si="1"/>
        <v>1652</v>
      </c>
      <c r="Q28" s="6"/>
      <c r="R28" s="18">
        <f t="shared" si="10"/>
        <v>826</v>
      </c>
    </row>
    <row r="29" spans="1:18" s="19" customFormat="1" ht="20.25" x14ac:dyDescent="0.3">
      <c r="A29" s="6">
        <f t="shared" si="7"/>
        <v>22</v>
      </c>
      <c r="B29" s="13">
        <v>43252</v>
      </c>
      <c r="C29" s="13">
        <v>43253</v>
      </c>
      <c r="D29" s="14" t="s">
        <v>176</v>
      </c>
      <c r="E29" s="14" t="s">
        <v>13</v>
      </c>
      <c r="F29" s="15">
        <f t="shared" si="2"/>
        <v>0</v>
      </c>
      <c r="G29" s="15">
        <f t="shared" si="0"/>
        <v>0</v>
      </c>
      <c r="H29" s="6" t="s">
        <v>169</v>
      </c>
      <c r="I29" s="16">
        <v>8</v>
      </c>
      <c r="J29" s="17">
        <v>1000</v>
      </c>
      <c r="K29" s="17">
        <f t="shared" si="3"/>
        <v>180</v>
      </c>
      <c r="L29" s="17">
        <f t="shared" si="4"/>
        <v>1180</v>
      </c>
      <c r="M29" s="17">
        <f t="shared" si="5"/>
        <v>9440</v>
      </c>
      <c r="N29" s="17">
        <f>1+2+3+1+1</f>
        <v>8</v>
      </c>
      <c r="O29" s="31">
        <f t="shared" si="6"/>
        <v>0</v>
      </c>
      <c r="P29" s="17">
        <f t="shared" si="1"/>
        <v>0</v>
      </c>
      <c r="Q29" s="6"/>
      <c r="R29" s="18" t="e">
        <f t="shared" si="10"/>
        <v>#DIV/0!</v>
      </c>
    </row>
    <row r="30" spans="1:18" s="19" customFormat="1" ht="20.25" x14ac:dyDescent="0.3">
      <c r="A30" s="6">
        <f t="shared" si="7"/>
        <v>23</v>
      </c>
      <c r="B30" s="13">
        <v>43252</v>
      </c>
      <c r="C30" s="13">
        <v>43253</v>
      </c>
      <c r="D30" s="14" t="s">
        <v>12</v>
      </c>
      <c r="E30" s="14" t="s">
        <v>320</v>
      </c>
      <c r="F30" s="15">
        <f t="shared" si="2"/>
        <v>1</v>
      </c>
      <c r="G30" s="15">
        <f t="shared" si="0"/>
        <v>1416</v>
      </c>
      <c r="H30" s="6" t="s">
        <v>169</v>
      </c>
      <c r="I30" s="16">
        <v>18</v>
      </c>
      <c r="J30" s="17">
        <v>1200</v>
      </c>
      <c r="K30" s="17">
        <f t="shared" si="3"/>
        <v>216</v>
      </c>
      <c r="L30" s="17">
        <f t="shared" si="4"/>
        <v>1416</v>
      </c>
      <c r="M30" s="17">
        <f t="shared" si="5"/>
        <v>25488</v>
      </c>
      <c r="N30" s="17">
        <f>1+2+7+2+1+1+1+2</f>
        <v>17</v>
      </c>
      <c r="O30" s="17">
        <f t="shared" si="6"/>
        <v>1</v>
      </c>
      <c r="P30" s="17">
        <f t="shared" si="1"/>
        <v>1416</v>
      </c>
      <c r="Q30" s="6"/>
      <c r="R30" s="18">
        <f t="shared" si="10"/>
        <v>1416</v>
      </c>
    </row>
    <row r="31" spans="1:18" s="19" customFormat="1" ht="20.25" x14ac:dyDescent="0.3">
      <c r="A31" s="6">
        <f t="shared" si="7"/>
        <v>24</v>
      </c>
      <c r="B31" s="13">
        <v>43830</v>
      </c>
      <c r="C31" s="13">
        <v>43859</v>
      </c>
      <c r="D31" s="14" t="s">
        <v>12</v>
      </c>
      <c r="E31" s="14" t="s">
        <v>262</v>
      </c>
      <c r="F31" s="15">
        <f t="shared" si="2"/>
        <v>2</v>
      </c>
      <c r="G31" s="15">
        <f t="shared" si="0"/>
        <v>1900</v>
      </c>
      <c r="H31" s="6" t="s">
        <v>169</v>
      </c>
      <c r="I31" s="16">
        <v>10</v>
      </c>
      <c r="J31" s="17">
        <f>950</f>
        <v>950</v>
      </c>
      <c r="K31" s="17">
        <v>0</v>
      </c>
      <c r="L31" s="17">
        <f>+J31</f>
        <v>950</v>
      </c>
      <c r="M31" s="17">
        <f t="shared" si="5"/>
        <v>9500</v>
      </c>
      <c r="N31" s="17">
        <f>2+4+2</f>
        <v>8</v>
      </c>
      <c r="O31" s="17">
        <f t="shared" si="6"/>
        <v>2</v>
      </c>
      <c r="P31" s="17">
        <f t="shared" si="1"/>
        <v>1900</v>
      </c>
      <c r="Q31" s="6" t="s">
        <v>260</v>
      </c>
      <c r="R31" s="18">
        <f t="shared" si="10"/>
        <v>950</v>
      </c>
    </row>
    <row r="32" spans="1:18" s="19" customFormat="1" ht="20.25" x14ac:dyDescent="0.3">
      <c r="A32" s="6">
        <f t="shared" si="7"/>
        <v>25</v>
      </c>
      <c r="B32" s="13">
        <v>44162</v>
      </c>
      <c r="C32" s="13">
        <v>44187</v>
      </c>
      <c r="D32" s="14" t="s">
        <v>8</v>
      </c>
      <c r="E32" s="14" t="s">
        <v>412</v>
      </c>
      <c r="F32" s="15">
        <f t="shared" si="2"/>
        <v>10</v>
      </c>
      <c r="G32" s="15">
        <f t="shared" si="0"/>
        <v>885</v>
      </c>
      <c r="H32" s="6" t="s">
        <v>169</v>
      </c>
      <c r="I32" s="16">
        <v>12</v>
      </c>
      <c r="J32" s="17">
        <v>75</v>
      </c>
      <c r="K32" s="17">
        <f t="shared" ref="K32:K36" si="13">+J32*18%</f>
        <v>13.5</v>
      </c>
      <c r="L32" s="17">
        <f t="shared" ref="L32:L35" si="14">+J32+K32</f>
        <v>88.5</v>
      </c>
      <c r="M32" s="17">
        <f t="shared" si="5"/>
        <v>1062</v>
      </c>
      <c r="N32" s="17">
        <f>1+1</f>
        <v>2</v>
      </c>
      <c r="O32" s="17">
        <f t="shared" si="6"/>
        <v>10</v>
      </c>
      <c r="P32" s="17">
        <f t="shared" si="1"/>
        <v>885</v>
      </c>
      <c r="Q32" s="6" t="s">
        <v>368</v>
      </c>
      <c r="R32" s="18"/>
    </row>
    <row r="33" spans="1:18" s="19" customFormat="1" ht="20.25" x14ac:dyDescent="0.3">
      <c r="A33" s="6">
        <f t="shared" si="7"/>
        <v>26</v>
      </c>
      <c r="B33" s="13">
        <v>44162</v>
      </c>
      <c r="C33" s="13">
        <v>44187</v>
      </c>
      <c r="D33" s="14" t="s">
        <v>409</v>
      </c>
      <c r="E33" s="14" t="s">
        <v>413</v>
      </c>
      <c r="F33" s="15">
        <f t="shared" si="2"/>
        <v>30</v>
      </c>
      <c r="G33" s="15">
        <f t="shared" si="0"/>
        <v>3540</v>
      </c>
      <c r="H33" s="6" t="s">
        <v>169</v>
      </c>
      <c r="I33" s="16">
        <v>30</v>
      </c>
      <c r="J33" s="17">
        <v>100</v>
      </c>
      <c r="K33" s="17">
        <f t="shared" si="13"/>
        <v>18</v>
      </c>
      <c r="L33" s="17">
        <f t="shared" si="14"/>
        <v>118</v>
      </c>
      <c r="M33" s="17">
        <f t="shared" si="5"/>
        <v>3540</v>
      </c>
      <c r="N33" s="17">
        <v>0</v>
      </c>
      <c r="O33" s="17">
        <f t="shared" si="6"/>
        <v>30</v>
      </c>
      <c r="P33" s="17">
        <f t="shared" si="1"/>
        <v>3540</v>
      </c>
      <c r="Q33" s="6" t="s">
        <v>368</v>
      </c>
      <c r="R33" s="18"/>
    </row>
    <row r="34" spans="1:18" s="19" customFormat="1" ht="20.25" x14ac:dyDescent="0.3">
      <c r="A34" s="6">
        <f t="shared" si="7"/>
        <v>27</v>
      </c>
      <c r="B34" s="13">
        <v>44162</v>
      </c>
      <c r="C34" s="13">
        <v>44187</v>
      </c>
      <c r="D34" s="14" t="s">
        <v>10</v>
      </c>
      <c r="E34" s="14" t="s">
        <v>414</v>
      </c>
      <c r="F34" s="15">
        <f t="shared" si="2"/>
        <v>55</v>
      </c>
      <c r="G34" s="15">
        <f t="shared" si="0"/>
        <v>7139.0000000000009</v>
      </c>
      <c r="H34" s="6" t="s">
        <v>169</v>
      </c>
      <c r="I34" s="16">
        <v>60</v>
      </c>
      <c r="J34" s="17">
        <v>110</v>
      </c>
      <c r="K34" s="17">
        <f t="shared" si="13"/>
        <v>19.8</v>
      </c>
      <c r="L34" s="17">
        <f t="shared" si="14"/>
        <v>129.80000000000001</v>
      </c>
      <c r="M34" s="17">
        <f t="shared" si="5"/>
        <v>7788.0000000000009</v>
      </c>
      <c r="N34" s="17">
        <v>5</v>
      </c>
      <c r="O34" s="17">
        <f t="shared" si="6"/>
        <v>55</v>
      </c>
      <c r="P34" s="17">
        <f t="shared" si="1"/>
        <v>7139.0000000000009</v>
      </c>
      <c r="Q34" s="6" t="s">
        <v>368</v>
      </c>
      <c r="R34" s="18"/>
    </row>
    <row r="35" spans="1:18" s="19" customFormat="1" ht="20.25" x14ac:dyDescent="0.3">
      <c r="A35" s="6">
        <f t="shared" si="7"/>
        <v>28</v>
      </c>
      <c r="B35" s="13">
        <v>44162</v>
      </c>
      <c r="C35" s="13">
        <v>44187</v>
      </c>
      <c r="D35" s="14" t="s">
        <v>11</v>
      </c>
      <c r="E35" s="14" t="s">
        <v>415</v>
      </c>
      <c r="F35" s="15">
        <f t="shared" si="2"/>
        <v>20</v>
      </c>
      <c r="G35" s="15">
        <f t="shared" si="0"/>
        <v>3540</v>
      </c>
      <c r="H35" s="6" t="s">
        <v>169</v>
      </c>
      <c r="I35" s="16">
        <v>20</v>
      </c>
      <c r="J35" s="17">
        <v>150</v>
      </c>
      <c r="K35" s="17">
        <f t="shared" si="13"/>
        <v>27</v>
      </c>
      <c r="L35" s="17">
        <f t="shared" si="14"/>
        <v>177</v>
      </c>
      <c r="M35" s="17">
        <f t="shared" si="5"/>
        <v>3540</v>
      </c>
      <c r="N35" s="17">
        <v>0</v>
      </c>
      <c r="O35" s="17">
        <f t="shared" si="6"/>
        <v>20</v>
      </c>
      <c r="P35" s="17">
        <f t="shared" si="1"/>
        <v>3540</v>
      </c>
      <c r="Q35" s="6" t="s">
        <v>368</v>
      </c>
      <c r="R35" s="18"/>
    </row>
    <row r="36" spans="1:18" s="19" customFormat="1" ht="20.25" x14ac:dyDescent="0.3">
      <c r="A36" s="6">
        <f t="shared" si="7"/>
        <v>29</v>
      </c>
      <c r="B36" s="13">
        <v>44162</v>
      </c>
      <c r="C36" s="13">
        <v>44187</v>
      </c>
      <c r="D36" s="14" t="s">
        <v>176</v>
      </c>
      <c r="E36" s="14" t="s">
        <v>416</v>
      </c>
      <c r="F36" s="15">
        <f t="shared" si="2"/>
        <v>20</v>
      </c>
      <c r="G36" s="15">
        <f t="shared" si="0"/>
        <v>4720</v>
      </c>
      <c r="H36" s="6" t="s">
        <v>169</v>
      </c>
      <c r="I36" s="16">
        <v>20</v>
      </c>
      <c r="J36" s="17">
        <v>200</v>
      </c>
      <c r="K36" s="17">
        <f t="shared" si="13"/>
        <v>36</v>
      </c>
      <c r="L36" s="17">
        <f>+J36+K36</f>
        <v>236</v>
      </c>
      <c r="M36" s="17">
        <f t="shared" si="5"/>
        <v>4720</v>
      </c>
      <c r="N36" s="17">
        <v>0</v>
      </c>
      <c r="O36" s="17">
        <f>$I36-$N36</f>
        <v>20</v>
      </c>
      <c r="P36" s="17">
        <f t="shared" si="1"/>
        <v>4720</v>
      </c>
      <c r="Q36" s="6" t="s">
        <v>368</v>
      </c>
      <c r="R36" s="18"/>
    </row>
    <row r="37" spans="1:18" s="19" customFormat="1" ht="20.25" x14ac:dyDescent="0.3">
      <c r="A37" s="6">
        <f t="shared" si="7"/>
        <v>30</v>
      </c>
      <c r="B37" s="13">
        <v>43252</v>
      </c>
      <c r="C37" s="13">
        <v>43253</v>
      </c>
      <c r="D37" s="14" t="s">
        <v>411</v>
      </c>
      <c r="E37" s="14" t="s">
        <v>14</v>
      </c>
      <c r="F37" s="15">
        <f t="shared" si="2"/>
        <v>29</v>
      </c>
      <c r="G37" s="15">
        <f t="shared" si="0"/>
        <v>13345.8</v>
      </c>
      <c r="H37" s="6" t="s">
        <v>169</v>
      </c>
      <c r="I37" s="16">
        <v>36</v>
      </c>
      <c r="J37" s="17">
        <v>390</v>
      </c>
      <c r="K37" s="17">
        <f t="shared" si="3"/>
        <v>70.2</v>
      </c>
      <c r="L37" s="17">
        <f t="shared" si="4"/>
        <v>460.2</v>
      </c>
      <c r="M37" s="17">
        <f t="shared" si="5"/>
        <v>16567.2</v>
      </c>
      <c r="N37" s="17">
        <f>1+2+1+1+2</f>
        <v>7</v>
      </c>
      <c r="O37" s="17">
        <f t="shared" si="6"/>
        <v>29</v>
      </c>
      <c r="P37" s="17">
        <f t="shared" si="1"/>
        <v>13345.8</v>
      </c>
      <c r="Q37" s="6"/>
      <c r="R37" s="18">
        <f>P37/O37</f>
        <v>460.2</v>
      </c>
    </row>
    <row r="38" spans="1:18" s="19" customFormat="1" ht="20.25" x14ac:dyDescent="0.3">
      <c r="A38" s="6">
        <f t="shared" si="7"/>
        <v>31</v>
      </c>
      <c r="B38" s="13">
        <v>44162</v>
      </c>
      <c r="C38" s="13">
        <v>44187</v>
      </c>
      <c r="D38" s="14" t="s">
        <v>411</v>
      </c>
      <c r="E38" s="14" t="s">
        <v>14</v>
      </c>
      <c r="F38" s="15">
        <f t="shared" si="2"/>
        <v>12</v>
      </c>
      <c r="G38" s="15">
        <f t="shared" si="0"/>
        <v>212.39999999999998</v>
      </c>
      <c r="H38" s="6" t="s">
        <v>169</v>
      </c>
      <c r="I38" s="16">
        <v>12</v>
      </c>
      <c r="J38" s="17">
        <v>15</v>
      </c>
      <c r="K38" s="17">
        <f t="shared" si="3"/>
        <v>2.6999999999999997</v>
      </c>
      <c r="L38" s="17">
        <f t="shared" si="4"/>
        <v>17.7</v>
      </c>
      <c r="M38" s="17">
        <f t="shared" si="5"/>
        <v>212.39999999999998</v>
      </c>
      <c r="N38" s="17"/>
      <c r="O38" s="17">
        <f t="shared" si="6"/>
        <v>12</v>
      </c>
      <c r="P38" s="17">
        <f t="shared" si="1"/>
        <v>212.39999999999998</v>
      </c>
      <c r="Q38" s="6" t="s">
        <v>368</v>
      </c>
      <c r="R38" s="18"/>
    </row>
    <row r="39" spans="1:18" s="19" customFormat="1" ht="18.75" customHeight="1" x14ac:dyDescent="0.3">
      <c r="A39" s="6">
        <f t="shared" si="7"/>
        <v>32</v>
      </c>
      <c r="B39" s="13">
        <v>44162</v>
      </c>
      <c r="C39" s="13">
        <v>44187</v>
      </c>
      <c r="D39" s="14" t="s">
        <v>399</v>
      </c>
      <c r="E39" s="14" t="s">
        <v>404</v>
      </c>
      <c r="F39" s="15">
        <f t="shared" si="2"/>
        <v>4</v>
      </c>
      <c r="G39" s="15">
        <f t="shared" si="0"/>
        <v>33040</v>
      </c>
      <c r="H39" s="6" t="s">
        <v>169</v>
      </c>
      <c r="I39" s="16">
        <v>4</v>
      </c>
      <c r="J39" s="17">
        <v>7000</v>
      </c>
      <c r="K39" s="17">
        <f t="shared" si="3"/>
        <v>1260</v>
      </c>
      <c r="L39" s="17">
        <f t="shared" si="4"/>
        <v>8260</v>
      </c>
      <c r="M39" s="17">
        <f t="shared" si="5"/>
        <v>33040</v>
      </c>
      <c r="N39" s="17">
        <v>0</v>
      </c>
      <c r="O39" s="17">
        <f t="shared" si="6"/>
        <v>4</v>
      </c>
      <c r="P39" s="17">
        <f t="shared" si="1"/>
        <v>33040</v>
      </c>
      <c r="Q39" s="6" t="s">
        <v>368</v>
      </c>
      <c r="R39" s="18"/>
    </row>
    <row r="40" spans="1:18" s="19" customFormat="1" ht="20.25" x14ac:dyDescent="0.3">
      <c r="A40" s="6">
        <f t="shared" si="7"/>
        <v>33</v>
      </c>
      <c r="B40" s="13">
        <v>44162</v>
      </c>
      <c r="C40" s="13">
        <v>44187</v>
      </c>
      <c r="D40" s="14" t="s">
        <v>400</v>
      </c>
      <c r="E40" s="14" t="s">
        <v>405</v>
      </c>
      <c r="F40" s="15">
        <f t="shared" si="2"/>
        <v>2</v>
      </c>
      <c r="G40" s="15">
        <f t="shared" si="0"/>
        <v>16874</v>
      </c>
      <c r="H40" s="6" t="s">
        <v>169</v>
      </c>
      <c r="I40" s="16">
        <v>2</v>
      </c>
      <c r="J40" s="17">
        <v>7150</v>
      </c>
      <c r="K40" s="17">
        <f t="shared" si="3"/>
        <v>1287</v>
      </c>
      <c r="L40" s="17">
        <f t="shared" si="4"/>
        <v>8437</v>
      </c>
      <c r="M40" s="17">
        <f t="shared" si="5"/>
        <v>16874</v>
      </c>
      <c r="N40" s="17">
        <v>0</v>
      </c>
      <c r="O40" s="17">
        <f t="shared" si="6"/>
        <v>2</v>
      </c>
      <c r="P40" s="17">
        <f t="shared" si="1"/>
        <v>16874</v>
      </c>
      <c r="Q40" s="6" t="s">
        <v>368</v>
      </c>
      <c r="R40" s="18"/>
    </row>
    <row r="41" spans="1:18" s="19" customFormat="1" ht="20.25" x14ac:dyDescent="0.3">
      <c r="A41" s="6">
        <f t="shared" si="7"/>
        <v>34</v>
      </c>
      <c r="B41" s="13">
        <v>44162</v>
      </c>
      <c r="C41" s="13">
        <v>44187</v>
      </c>
      <c r="D41" s="14" t="s">
        <v>401</v>
      </c>
      <c r="E41" s="14" t="s">
        <v>406</v>
      </c>
      <c r="F41" s="15">
        <f t="shared" si="2"/>
        <v>2</v>
      </c>
      <c r="G41" s="15">
        <f t="shared" si="0"/>
        <v>16874</v>
      </c>
      <c r="H41" s="6" t="s">
        <v>169</v>
      </c>
      <c r="I41" s="16">
        <v>2</v>
      </c>
      <c r="J41" s="17">
        <v>7150</v>
      </c>
      <c r="K41" s="17">
        <f t="shared" si="3"/>
        <v>1287</v>
      </c>
      <c r="L41" s="17">
        <f t="shared" si="4"/>
        <v>8437</v>
      </c>
      <c r="M41" s="17">
        <f t="shared" si="5"/>
        <v>16874</v>
      </c>
      <c r="N41" s="17">
        <v>0</v>
      </c>
      <c r="O41" s="17">
        <f t="shared" si="6"/>
        <v>2</v>
      </c>
      <c r="P41" s="17">
        <f t="shared" si="1"/>
        <v>16874</v>
      </c>
      <c r="Q41" s="6" t="s">
        <v>368</v>
      </c>
      <c r="R41" s="18"/>
    </row>
    <row r="42" spans="1:18" s="19" customFormat="1" ht="20.25" x14ac:dyDescent="0.3">
      <c r="A42" s="6">
        <f t="shared" si="7"/>
        <v>35</v>
      </c>
      <c r="B42" s="13">
        <v>44162</v>
      </c>
      <c r="C42" s="13">
        <v>44187</v>
      </c>
      <c r="D42" s="14" t="s">
        <v>402</v>
      </c>
      <c r="E42" s="14" t="s">
        <v>407</v>
      </c>
      <c r="F42" s="15">
        <f t="shared" si="2"/>
        <v>2</v>
      </c>
      <c r="G42" s="15">
        <f t="shared" si="0"/>
        <v>16874</v>
      </c>
      <c r="H42" s="6" t="s">
        <v>169</v>
      </c>
      <c r="I42" s="16">
        <v>2</v>
      </c>
      <c r="J42" s="17">
        <v>7150</v>
      </c>
      <c r="K42" s="17">
        <f t="shared" si="3"/>
        <v>1287</v>
      </c>
      <c r="L42" s="17">
        <f t="shared" si="4"/>
        <v>8437</v>
      </c>
      <c r="M42" s="17">
        <f t="shared" si="5"/>
        <v>16874</v>
      </c>
      <c r="N42" s="17">
        <v>0</v>
      </c>
      <c r="O42" s="17">
        <f t="shared" si="6"/>
        <v>2</v>
      </c>
      <c r="P42" s="17">
        <f t="shared" si="1"/>
        <v>16874</v>
      </c>
      <c r="Q42" s="6" t="s">
        <v>368</v>
      </c>
      <c r="R42" s="18"/>
    </row>
    <row r="43" spans="1:18" s="19" customFormat="1" ht="20.25" x14ac:dyDescent="0.3">
      <c r="A43" s="6">
        <f t="shared" si="7"/>
        <v>36</v>
      </c>
      <c r="B43" s="13">
        <v>44162</v>
      </c>
      <c r="C43" s="13">
        <v>44187</v>
      </c>
      <c r="D43" s="14" t="s">
        <v>403</v>
      </c>
      <c r="E43" s="14" t="s">
        <v>408</v>
      </c>
      <c r="F43" s="15">
        <f t="shared" si="2"/>
        <v>2</v>
      </c>
      <c r="G43" s="15">
        <f t="shared" si="0"/>
        <v>16874</v>
      </c>
      <c r="H43" s="6" t="s">
        <v>169</v>
      </c>
      <c r="I43" s="16">
        <v>2</v>
      </c>
      <c r="J43" s="17">
        <v>7150</v>
      </c>
      <c r="K43" s="17">
        <f t="shared" si="3"/>
        <v>1287</v>
      </c>
      <c r="L43" s="17">
        <f t="shared" si="4"/>
        <v>8437</v>
      </c>
      <c r="M43" s="17">
        <f t="shared" si="5"/>
        <v>16874</v>
      </c>
      <c r="N43" s="17">
        <v>0</v>
      </c>
      <c r="O43" s="17">
        <f t="shared" si="6"/>
        <v>2</v>
      </c>
      <c r="P43" s="17">
        <f t="shared" si="1"/>
        <v>16874</v>
      </c>
      <c r="Q43" s="6" t="s">
        <v>368</v>
      </c>
      <c r="R43" s="18"/>
    </row>
    <row r="44" spans="1:18" s="19" customFormat="1" ht="20.25" x14ac:dyDescent="0.3">
      <c r="A44" s="6">
        <f t="shared" si="7"/>
        <v>37</v>
      </c>
      <c r="B44" s="13">
        <v>43252</v>
      </c>
      <c r="C44" s="13">
        <v>43253</v>
      </c>
      <c r="D44" s="14" t="s">
        <v>15</v>
      </c>
      <c r="E44" s="21" t="s">
        <v>16</v>
      </c>
      <c r="F44" s="15">
        <f t="shared" si="2"/>
        <v>17</v>
      </c>
      <c r="G44" s="15">
        <f t="shared" si="0"/>
        <v>1393.0555555555554</v>
      </c>
      <c r="H44" s="6" t="s">
        <v>169</v>
      </c>
      <c r="I44" s="16">
        <v>125</v>
      </c>
      <c r="J44" s="17">
        <v>69.444444444444443</v>
      </c>
      <c r="K44" s="17">
        <f t="shared" si="3"/>
        <v>12.5</v>
      </c>
      <c r="L44" s="17">
        <f t="shared" si="4"/>
        <v>81.944444444444443</v>
      </c>
      <c r="M44" s="17">
        <f t="shared" si="5"/>
        <v>10243.055555555555</v>
      </c>
      <c r="N44" s="17">
        <f>28+1+10+2+1+25+25+2+5+6+1+2</f>
        <v>108</v>
      </c>
      <c r="O44" s="17">
        <f t="shared" si="6"/>
        <v>17</v>
      </c>
      <c r="P44" s="17">
        <f t="shared" si="1"/>
        <v>1393.0555555555554</v>
      </c>
      <c r="Q44" s="6"/>
      <c r="R44" s="18">
        <f>P44/O44</f>
        <v>81.944444444444443</v>
      </c>
    </row>
    <row r="45" spans="1:18" s="19" customFormat="1" ht="20.25" x14ac:dyDescent="0.3">
      <c r="A45" s="6">
        <f t="shared" si="7"/>
        <v>38</v>
      </c>
      <c r="B45" s="13">
        <v>44162</v>
      </c>
      <c r="C45" s="13">
        <v>44187</v>
      </c>
      <c r="D45" s="14" t="s">
        <v>394</v>
      </c>
      <c r="E45" s="21" t="s">
        <v>428</v>
      </c>
      <c r="F45" s="15">
        <f t="shared" si="2"/>
        <v>41</v>
      </c>
      <c r="G45" s="15">
        <f t="shared" si="0"/>
        <v>1790.06</v>
      </c>
      <c r="H45" s="6" t="s">
        <v>169</v>
      </c>
      <c r="I45" s="16">
        <v>50</v>
      </c>
      <c r="J45" s="17">
        <v>37</v>
      </c>
      <c r="K45" s="17">
        <f t="shared" si="3"/>
        <v>6.66</v>
      </c>
      <c r="L45" s="17">
        <f t="shared" si="4"/>
        <v>43.66</v>
      </c>
      <c r="M45" s="17">
        <f t="shared" si="5"/>
        <v>2183</v>
      </c>
      <c r="N45" s="17">
        <f>6+3</f>
        <v>9</v>
      </c>
      <c r="O45" s="17">
        <f t="shared" si="6"/>
        <v>41</v>
      </c>
      <c r="P45" s="17">
        <f t="shared" si="1"/>
        <v>1790.06</v>
      </c>
      <c r="Q45" s="6" t="s">
        <v>368</v>
      </c>
      <c r="R45" s="18"/>
    </row>
    <row r="46" spans="1:18" s="19" customFormat="1" ht="20.25" x14ac:dyDescent="0.3">
      <c r="A46" s="6">
        <f t="shared" si="7"/>
        <v>39</v>
      </c>
      <c r="B46" s="13">
        <v>43609</v>
      </c>
      <c r="C46" s="13">
        <v>43612</v>
      </c>
      <c r="D46" s="14" t="s">
        <v>17</v>
      </c>
      <c r="E46" s="14" t="s">
        <v>18</v>
      </c>
      <c r="F46" s="15">
        <f t="shared" si="2"/>
        <v>8</v>
      </c>
      <c r="G46" s="15">
        <f t="shared" si="0"/>
        <v>755.2</v>
      </c>
      <c r="H46" s="6" t="s">
        <v>169</v>
      </c>
      <c r="I46" s="16">
        <v>10</v>
      </c>
      <c r="J46" s="17">
        <v>80</v>
      </c>
      <c r="K46" s="17">
        <f>+J46*18%</f>
        <v>14.399999999999999</v>
      </c>
      <c r="L46" s="17">
        <f>+J46+K46</f>
        <v>94.4</v>
      </c>
      <c r="M46" s="17">
        <f>$I46*$L46</f>
        <v>944</v>
      </c>
      <c r="N46" s="17">
        <f>1+1</f>
        <v>2</v>
      </c>
      <c r="O46" s="17">
        <f t="shared" si="6"/>
        <v>8</v>
      </c>
      <c r="P46" s="17">
        <f t="shared" si="1"/>
        <v>755.2</v>
      </c>
      <c r="Q46" s="6" t="s">
        <v>210</v>
      </c>
      <c r="R46" s="18">
        <f>P46/O46</f>
        <v>94.4</v>
      </c>
    </row>
    <row r="47" spans="1:18" ht="20.25" x14ac:dyDescent="0.3">
      <c r="A47" s="6">
        <f t="shared" si="7"/>
        <v>40</v>
      </c>
      <c r="B47" s="13">
        <v>44162</v>
      </c>
      <c r="C47" s="13">
        <v>44187</v>
      </c>
      <c r="D47" s="14" t="s">
        <v>17</v>
      </c>
      <c r="E47" s="14" t="s">
        <v>18</v>
      </c>
      <c r="F47" s="15">
        <f t="shared" si="2"/>
        <v>12</v>
      </c>
      <c r="G47" s="15">
        <f t="shared" si="0"/>
        <v>708</v>
      </c>
      <c r="H47" s="6" t="s">
        <v>169</v>
      </c>
      <c r="I47" s="16">
        <v>12</v>
      </c>
      <c r="J47" s="17">
        <v>50</v>
      </c>
      <c r="K47" s="17">
        <f t="shared" ref="K47" si="15">+J47*18%</f>
        <v>9</v>
      </c>
      <c r="L47" s="17">
        <f t="shared" ref="L47" si="16">+J47+K47</f>
        <v>59</v>
      </c>
      <c r="M47" s="17">
        <f t="shared" si="5"/>
        <v>708</v>
      </c>
      <c r="N47" s="17">
        <v>0</v>
      </c>
      <c r="O47" s="17">
        <f t="shared" si="6"/>
        <v>12</v>
      </c>
      <c r="P47" s="17">
        <f t="shared" si="1"/>
        <v>708</v>
      </c>
      <c r="Q47" s="6" t="s">
        <v>368</v>
      </c>
    </row>
    <row r="48" spans="1:18" s="19" customFormat="1" ht="20.25" x14ac:dyDescent="0.3">
      <c r="A48" s="6">
        <f t="shared" si="7"/>
        <v>41</v>
      </c>
      <c r="B48" s="13">
        <v>43252</v>
      </c>
      <c r="C48" s="13">
        <v>43255</v>
      </c>
      <c r="D48" s="14" t="s">
        <v>287</v>
      </c>
      <c r="E48" s="14" t="s">
        <v>19</v>
      </c>
      <c r="F48" s="15">
        <f t="shared" si="2"/>
        <v>1</v>
      </c>
      <c r="G48" s="15">
        <f t="shared" si="0"/>
        <v>859.04</v>
      </c>
      <c r="H48" s="6" t="s">
        <v>169</v>
      </c>
      <c r="I48" s="16">
        <v>2</v>
      </c>
      <c r="J48" s="17">
        <v>728</v>
      </c>
      <c r="K48" s="17">
        <f t="shared" si="3"/>
        <v>131.04</v>
      </c>
      <c r="L48" s="17">
        <f t="shared" si="4"/>
        <v>859.04</v>
      </c>
      <c r="M48" s="17">
        <f t="shared" si="5"/>
        <v>1718.08</v>
      </c>
      <c r="N48" s="17">
        <v>1</v>
      </c>
      <c r="O48" s="17">
        <f t="shared" si="6"/>
        <v>1</v>
      </c>
      <c r="P48" s="17">
        <f t="shared" si="1"/>
        <v>859.04</v>
      </c>
      <c r="Q48" s="6"/>
      <c r="R48" s="18">
        <f t="shared" ref="R48:R68" si="17">P48/O48</f>
        <v>859.04</v>
      </c>
    </row>
    <row r="49" spans="1:18" s="19" customFormat="1" ht="20.25" x14ac:dyDescent="0.3">
      <c r="A49" s="6">
        <f t="shared" si="7"/>
        <v>42</v>
      </c>
      <c r="B49" s="13">
        <v>43252</v>
      </c>
      <c r="C49" s="13">
        <v>43255</v>
      </c>
      <c r="D49" s="14" t="s">
        <v>288</v>
      </c>
      <c r="E49" s="14" t="s">
        <v>20</v>
      </c>
      <c r="F49" s="15">
        <f t="shared" si="2"/>
        <v>1</v>
      </c>
      <c r="G49" s="15">
        <f t="shared" si="0"/>
        <v>843.7</v>
      </c>
      <c r="H49" s="6" t="s">
        <v>169</v>
      </c>
      <c r="I49" s="16">
        <v>2</v>
      </c>
      <c r="J49" s="17">
        <v>715</v>
      </c>
      <c r="K49" s="17">
        <f t="shared" si="3"/>
        <v>128.69999999999999</v>
      </c>
      <c r="L49" s="17">
        <f t="shared" si="4"/>
        <v>843.7</v>
      </c>
      <c r="M49" s="17">
        <f t="shared" si="5"/>
        <v>1687.4</v>
      </c>
      <c r="N49" s="17">
        <v>1</v>
      </c>
      <c r="O49" s="17">
        <f t="shared" si="6"/>
        <v>1</v>
      </c>
      <c r="P49" s="17">
        <f t="shared" si="1"/>
        <v>843.7</v>
      </c>
      <c r="Q49" s="6"/>
      <c r="R49" s="18">
        <f t="shared" si="17"/>
        <v>843.7</v>
      </c>
    </row>
    <row r="50" spans="1:18" s="19" customFormat="1" ht="20.25" x14ac:dyDescent="0.3">
      <c r="A50" s="6">
        <f t="shared" si="7"/>
        <v>43</v>
      </c>
      <c r="B50" s="13">
        <v>43830</v>
      </c>
      <c r="C50" s="13">
        <v>43858</v>
      </c>
      <c r="D50" s="14" t="s">
        <v>289</v>
      </c>
      <c r="E50" s="14" t="s">
        <v>290</v>
      </c>
      <c r="F50" s="15">
        <f t="shared" si="2"/>
        <v>5</v>
      </c>
      <c r="G50" s="15">
        <f t="shared" si="0"/>
        <v>4495.8</v>
      </c>
      <c r="H50" s="6" t="s">
        <v>169</v>
      </c>
      <c r="I50" s="16">
        <v>5</v>
      </c>
      <c r="J50" s="17">
        <v>762</v>
      </c>
      <c r="K50" s="17">
        <f>+J50*18%</f>
        <v>137.16</v>
      </c>
      <c r="L50" s="17">
        <f>+J50+K50</f>
        <v>899.16</v>
      </c>
      <c r="M50" s="17">
        <f t="shared" si="5"/>
        <v>4495.8</v>
      </c>
      <c r="N50" s="17">
        <v>0</v>
      </c>
      <c r="O50" s="17">
        <f t="shared" si="6"/>
        <v>5</v>
      </c>
      <c r="P50" s="17">
        <f t="shared" si="1"/>
        <v>4495.8</v>
      </c>
      <c r="Q50" s="6" t="s">
        <v>271</v>
      </c>
      <c r="R50" s="18">
        <f t="shared" si="17"/>
        <v>899.16000000000008</v>
      </c>
    </row>
    <row r="51" spans="1:18" s="19" customFormat="1" ht="20.25" x14ac:dyDescent="0.3">
      <c r="A51" s="6">
        <f t="shared" si="7"/>
        <v>44</v>
      </c>
      <c r="B51" s="13">
        <v>43830</v>
      </c>
      <c r="C51" s="13">
        <v>43858</v>
      </c>
      <c r="D51" s="14" t="s">
        <v>282</v>
      </c>
      <c r="E51" s="14" t="s">
        <v>283</v>
      </c>
      <c r="F51" s="15">
        <f t="shared" si="2"/>
        <v>8</v>
      </c>
      <c r="G51" s="15">
        <f t="shared" si="0"/>
        <v>4804.96</v>
      </c>
      <c r="H51" s="6" t="s">
        <v>169</v>
      </c>
      <c r="I51" s="16">
        <v>8</v>
      </c>
      <c r="J51" s="17">
        <v>509</v>
      </c>
      <c r="K51" s="17">
        <f>+J51*18%</f>
        <v>91.61999999999999</v>
      </c>
      <c r="L51" s="17">
        <f>+J51+K51</f>
        <v>600.62</v>
      </c>
      <c r="M51" s="17">
        <f t="shared" si="5"/>
        <v>4804.96</v>
      </c>
      <c r="N51" s="17">
        <v>0</v>
      </c>
      <c r="O51" s="17">
        <f t="shared" si="6"/>
        <v>8</v>
      </c>
      <c r="P51" s="17">
        <f t="shared" si="1"/>
        <v>4804.96</v>
      </c>
      <c r="Q51" s="6" t="s">
        <v>271</v>
      </c>
      <c r="R51" s="18">
        <f t="shared" si="17"/>
        <v>600.62</v>
      </c>
    </row>
    <row r="52" spans="1:18" s="19" customFormat="1" ht="20.25" x14ac:dyDescent="0.3">
      <c r="A52" s="6">
        <f t="shared" si="7"/>
        <v>45</v>
      </c>
      <c r="B52" s="13">
        <v>43252</v>
      </c>
      <c r="C52" s="13">
        <v>43255</v>
      </c>
      <c r="D52" s="14" t="s">
        <v>179</v>
      </c>
      <c r="E52" s="14" t="s">
        <v>180</v>
      </c>
      <c r="F52" s="15">
        <f t="shared" si="2"/>
        <v>1</v>
      </c>
      <c r="G52" s="15">
        <f t="shared" si="0"/>
        <v>59</v>
      </c>
      <c r="H52" s="6" t="s">
        <v>169</v>
      </c>
      <c r="I52" s="16">
        <v>20</v>
      </c>
      <c r="J52" s="17">
        <v>50</v>
      </c>
      <c r="K52" s="17">
        <f t="shared" si="3"/>
        <v>9</v>
      </c>
      <c r="L52" s="17">
        <f t="shared" si="4"/>
        <v>59</v>
      </c>
      <c r="M52" s="17">
        <f t="shared" si="5"/>
        <v>1180</v>
      </c>
      <c r="N52" s="17">
        <f>2+3+1+4+2+2+1+3+1</f>
        <v>19</v>
      </c>
      <c r="O52" s="17">
        <f t="shared" si="6"/>
        <v>1</v>
      </c>
      <c r="P52" s="17">
        <f t="shared" si="1"/>
        <v>59</v>
      </c>
      <c r="Q52" s="6" t="s">
        <v>210</v>
      </c>
      <c r="R52" s="18">
        <f t="shared" si="17"/>
        <v>59</v>
      </c>
    </row>
    <row r="53" spans="1:18" s="19" customFormat="1" ht="20.25" x14ac:dyDescent="0.3">
      <c r="A53" s="6">
        <f t="shared" si="7"/>
        <v>46</v>
      </c>
      <c r="B53" s="13">
        <v>43609</v>
      </c>
      <c r="C53" s="13">
        <v>43612</v>
      </c>
      <c r="D53" s="14" t="s">
        <v>212</v>
      </c>
      <c r="E53" s="14" t="s">
        <v>213</v>
      </c>
      <c r="F53" s="15">
        <f t="shared" si="2"/>
        <v>5</v>
      </c>
      <c r="G53" s="15">
        <f t="shared" si="0"/>
        <v>678.5</v>
      </c>
      <c r="H53" s="6" t="s">
        <v>169</v>
      </c>
      <c r="I53" s="16">
        <v>6</v>
      </c>
      <c r="J53" s="17">
        <v>115</v>
      </c>
      <c r="K53" s="17">
        <f t="shared" si="3"/>
        <v>20.7</v>
      </c>
      <c r="L53" s="17">
        <f t="shared" si="4"/>
        <v>135.69999999999999</v>
      </c>
      <c r="M53" s="17">
        <f t="shared" si="5"/>
        <v>814.19999999999993</v>
      </c>
      <c r="N53" s="17">
        <v>1</v>
      </c>
      <c r="O53" s="17">
        <f t="shared" si="6"/>
        <v>5</v>
      </c>
      <c r="P53" s="17">
        <f t="shared" si="1"/>
        <v>678.5</v>
      </c>
      <c r="Q53" s="6" t="s">
        <v>210</v>
      </c>
      <c r="R53" s="18">
        <f t="shared" si="17"/>
        <v>135.69999999999999</v>
      </c>
    </row>
    <row r="54" spans="1:18" s="19" customFormat="1" ht="20.25" x14ac:dyDescent="0.3">
      <c r="A54" s="6">
        <f t="shared" si="7"/>
        <v>47</v>
      </c>
      <c r="B54" s="13">
        <v>44162</v>
      </c>
      <c r="C54" s="13">
        <v>44187</v>
      </c>
      <c r="D54" s="14" t="s">
        <v>212</v>
      </c>
      <c r="E54" s="14" t="s">
        <v>460</v>
      </c>
      <c r="F54" s="15">
        <f t="shared" si="2"/>
        <v>60</v>
      </c>
      <c r="G54" s="15">
        <f t="shared" si="0"/>
        <v>3540</v>
      </c>
      <c r="H54" s="6" t="s">
        <v>169</v>
      </c>
      <c r="I54" s="16">
        <v>60</v>
      </c>
      <c r="J54" s="17">
        <v>50</v>
      </c>
      <c r="K54" s="17">
        <f t="shared" si="3"/>
        <v>9</v>
      </c>
      <c r="L54" s="17">
        <f t="shared" si="4"/>
        <v>59</v>
      </c>
      <c r="M54" s="17">
        <f t="shared" si="5"/>
        <v>3540</v>
      </c>
      <c r="N54" s="17">
        <v>0</v>
      </c>
      <c r="O54" s="17">
        <f t="shared" si="6"/>
        <v>60</v>
      </c>
      <c r="P54" s="17">
        <f t="shared" si="1"/>
        <v>3540</v>
      </c>
      <c r="Q54" s="6" t="s">
        <v>368</v>
      </c>
      <c r="R54" s="18">
        <f t="shared" si="17"/>
        <v>59</v>
      </c>
    </row>
    <row r="55" spans="1:18" s="19" customFormat="1" ht="20.25" x14ac:dyDescent="0.3">
      <c r="A55" s="6">
        <f t="shared" si="7"/>
        <v>48</v>
      </c>
      <c r="B55" s="13">
        <v>43609</v>
      </c>
      <c r="C55" s="13">
        <v>43612</v>
      </c>
      <c r="D55" s="14" t="s">
        <v>231</v>
      </c>
      <c r="E55" s="14" t="s">
        <v>232</v>
      </c>
      <c r="F55" s="15">
        <f t="shared" si="2"/>
        <v>8</v>
      </c>
      <c r="G55" s="15">
        <f t="shared" si="0"/>
        <v>472</v>
      </c>
      <c r="H55" s="6" t="s">
        <v>169</v>
      </c>
      <c r="I55" s="16">
        <v>20</v>
      </c>
      <c r="J55" s="17">
        <v>50</v>
      </c>
      <c r="K55" s="17">
        <f>+J55*18%</f>
        <v>9</v>
      </c>
      <c r="L55" s="17">
        <f>+J55+K55</f>
        <v>59</v>
      </c>
      <c r="M55" s="17">
        <f t="shared" si="5"/>
        <v>1180</v>
      </c>
      <c r="N55" s="17">
        <f>1+4+3+3+1</f>
        <v>12</v>
      </c>
      <c r="O55" s="17">
        <f t="shared" si="6"/>
        <v>8</v>
      </c>
      <c r="P55" s="17">
        <f t="shared" si="1"/>
        <v>472</v>
      </c>
      <c r="Q55" s="6" t="s">
        <v>210</v>
      </c>
      <c r="R55" s="18">
        <f t="shared" si="17"/>
        <v>59</v>
      </c>
    </row>
    <row r="56" spans="1:18" s="19" customFormat="1" ht="20.25" x14ac:dyDescent="0.3">
      <c r="A56" s="6">
        <f t="shared" si="7"/>
        <v>49</v>
      </c>
      <c r="B56" s="13">
        <v>43609</v>
      </c>
      <c r="C56" s="13">
        <v>43612</v>
      </c>
      <c r="D56" s="14" t="s">
        <v>25</v>
      </c>
      <c r="E56" s="14" t="s">
        <v>26</v>
      </c>
      <c r="F56" s="15">
        <v>2</v>
      </c>
      <c r="G56" s="15">
        <f t="shared" si="0"/>
        <v>708</v>
      </c>
      <c r="H56" s="6" t="s">
        <v>181</v>
      </c>
      <c r="I56" s="16">
        <v>2</v>
      </c>
      <c r="J56" s="17">
        <v>300</v>
      </c>
      <c r="K56" s="17">
        <f t="shared" si="3"/>
        <v>54</v>
      </c>
      <c r="L56" s="17">
        <f t="shared" si="4"/>
        <v>354</v>
      </c>
      <c r="M56" s="17">
        <f t="shared" si="5"/>
        <v>708</v>
      </c>
      <c r="N56" s="17">
        <f>2+1</f>
        <v>3</v>
      </c>
      <c r="O56" s="17">
        <v>2</v>
      </c>
      <c r="P56" s="17">
        <f t="shared" si="1"/>
        <v>708</v>
      </c>
      <c r="Q56" s="6" t="s">
        <v>210</v>
      </c>
      <c r="R56" s="18">
        <f t="shared" si="17"/>
        <v>354</v>
      </c>
    </row>
    <row r="57" spans="1:18" s="19" customFormat="1" ht="20.25" x14ac:dyDescent="0.3">
      <c r="A57" s="6">
        <f t="shared" si="7"/>
        <v>50</v>
      </c>
      <c r="B57" s="13">
        <v>43609</v>
      </c>
      <c r="C57" s="13">
        <v>43612</v>
      </c>
      <c r="D57" s="14" t="s">
        <v>23</v>
      </c>
      <c r="E57" s="14" t="s">
        <v>24</v>
      </c>
      <c r="F57" s="15">
        <v>2</v>
      </c>
      <c r="G57" s="15">
        <f t="shared" si="0"/>
        <v>472</v>
      </c>
      <c r="H57" s="6" t="s">
        <v>181</v>
      </c>
      <c r="I57" s="16">
        <v>2</v>
      </c>
      <c r="J57" s="17">
        <v>200</v>
      </c>
      <c r="K57" s="17">
        <f>+J57*18%</f>
        <v>36</v>
      </c>
      <c r="L57" s="17">
        <f>+J57+K57</f>
        <v>236</v>
      </c>
      <c r="M57" s="17">
        <f t="shared" si="5"/>
        <v>472</v>
      </c>
      <c r="N57" s="17">
        <v>1</v>
      </c>
      <c r="O57" s="17">
        <v>2</v>
      </c>
      <c r="P57" s="17">
        <f t="shared" si="1"/>
        <v>472</v>
      </c>
      <c r="Q57" s="6" t="s">
        <v>210</v>
      </c>
      <c r="R57" s="18">
        <f t="shared" si="17"/>
        <v>236</v>
      </c>
    </row>
    <row r="58" spans="1:18" s="19" customFormat="1" ht="20.25" x14ac:dyDescent="0.3">
      <c r="A58" s="6">
        <f t="shared" si="7"/>
        <v>51</v>
      </c>
      <c r="B58" s="13">
        <v>43609</v>
      </c>
      <c r="C58" s="13">
        <v>43612</v>
      </c>
      <c r="D58" s="14" t="s">
        <v>21</v>
      </c>
      <c r="E58" s="14" t="s">
        <v>22</v>
      </c>
      <c r="F58" s="15">
        <f t="shared" ref="F58:F121" si="18">$I58-$N58</f>
        <v>2</v>
      </c>
      <c r="G58" s="15">
        <f t="shared" si="0"/>
        <v>236</v>
      </c>
      <c r="H58" s="6" t="s">
        <v>181</v>
      </c>
      <c r="I58" s="16">
        <v>11</v>
      </c>
      <c r="J58" s="17">
        <v>100</v>
      </c>
      <c r="K58" s="17">
        <f t="shared" si="3"/>
        <v>18</v>
      </c>
      <c r="L58" s="17">
        <f t="shared" si="4"/>
        <v>118</v>
      </c>
      <c r="M58" s="17">
        <f t="shared" si="5"/>
        <v>1298</v>
      </c>
      <c r="N58" s="17">
        <f>3+1+1+1+1+1+1</f>
        <v>9</v>
      </c>
      <c r="O58" s="17">
        <f t="shared" ref="O58:O121" si="19">$I58-$N58</f>
        <v>2</v>
      </c>
      <c r="P58" s="17">
        <f t="shared" si="1"/>
        <v>236</v>
      </c>
      <c r="Q58" s="6" t="s">
        <v>210</v>
      </c>
      <c r="R58" s="18">
        <f t="shared" si="17"/>
        <v>118</v>
      </c>
    </row>
    <row r="59" spans="1:18" s="19" customFormat="1" ht="20.25" x14ac:dyDescent="0.3">
      <c r="A59" s="6">
        <f t="shared" si="7"/>
        <v>52</v>
      </c>
      <c r="B59" s="13">
        <v>43252</v>
      </c>
      <c r="C59" s="13">
        <v>43255</v>
      </c>
      <c r="D59" s="14" t="s">
        <v>27</v>
      </c>
      <c r="E59" s="14" t="s">
        <v>28</v>
      </c>
      <c r="F59" s="15">
        <f t="shared" si="18"/>
        <v>20</v>
      </c>
      <c r="G59" s="15">
        <f t="shared" si="0"/>
        <v>1906.172</v>
      </c>
      <c r="H59" s="6" t="s">
        <v>181</v>
      </c>
      <c r="I59" s="16">
        <v>36</v>
      </c>
      <c r="J59" s="17">
        <v>80.77</v>
      </c>
      <c r="K59" s="17">
        <f t="shared" si="3"/>
        <v>14.538599999999999</v>
      </c>
      <c r="L59" s="17">
        <f t="shared" si="4"/>
        <v>95.308599999999998</v>
      </c>
      <c r="M59" s="17">
        <f t="shared" si="5"/>
        <v>3431.1095999999998</v>
      </c>
      <c r="N59" s="17">
        <f>12+1+3</f>
        <v>16</v>
      </c>
      <c r="O59" s="17">
        <f t="shared" si="19"/>
        <v>20</v>
      </c>
      <c r="P59" s="17">
        <f t="shared" si="1"/>
        <v>1906.172</v>
      </c>
      <c r="Q59" s="6"/>
      <c r="R59" s="18">
        <f t="shared" si="17"/>
        <v>95.308599999999998</v>
      </c>
    </row>
    <row r="60" spans="1:18" s="19" customFormat="1" ht="20.25" x14ac:dyDescent="0.3">
      <c r="A60" s="6">
        <f t="shared" si="7"/>
        <v>53</v>
      </c>
      <c r="B60" s="13">
        <v>43609</v>
      </c>
      <c r="C60" s="13">
        <v>43612</v>
      </c>
      <c r="D60" s="14" t="s">
        <v>27</v>
      </c>
      <c r="E60" s="14" t="s">
        <v>28</v>
      </c>
      <c r="F60" s="15">
        <f t="shared" si="18"/>
        <v>10</v>
      </c>
      <c r="G60" s="15">
        <f t="shared" si="0"/>
        <v>2124</v>
      </c>
      <c r="H60" s="6" t="s">
        <v>181</v>
      </c>
      <c r="I60" s="16">
        <v>10</v>
      </c>
      <c r="J60" s="17">
        <v>180</v>
      </c>
      <c r="K60" s="17">
        <f t="shared" si="3"/>
        <v>32.4</v>
      </c>
      <c r="L60" s="17">
        <f t="shared" si="4"/>
        <v>212.4</v>
      </c>
      <c r="M60" s="17">
        <f t="shared" si="5"/>
        <v>2124</v>
      </c>
      <c r="N60" s="17">
        <v>0</v>
      </c>
      <c r="O60" s="17">
        <f t="shared" si="19"/>
        <v>10</v>
      </c>
      <c r="P60" s="17">
        <f t="shared" si="1"/>
        <v>2124</v>
      </c>
      <c r="Q60" s="6" t="s">
        <v>210</v>
      </c>
      <c r="R60" s="18">
        <f t="shared" si="17"/>
        <v>212.4</v>
      </c>
    </row>
    <row r="61" spans="1:18" s="19" customFormat="1" ht="20.25" x14ac:dyDescent="0.3">
      <c r="A61" s="6">
        <f t="shared" si="7"/>
        <v>54</v>
      </c>
      <c r="B61" s="13">
        <v>43609</v>
      </c>
      <c r="C61" s="13">
        <v>43612</v>
      </c>
      <c r="D61" s="14" t="s">
        <v>29</v>
      </c>
      <c r="E61" s="14" t="s">
        <v>30</v>
      </c>
      <c r="F61" s="15">
        <f t="shared" si="18"/>
        <v>11</v>
      </c>
      <c r="G61" s="15">
        <f t="shared" si="0"/>
        <v>1687.4</v>
      </c>
      <c r="H61" s="6" t="s">
        <v>181</v>
      </c>
      <c r="I61" s="16">
        <v>20</v>
      </c>
      <c r="J61" s="17">
        <v>130</v>
      </c>
      <c r="K61" s="17">
        <f t="shared" si="3"/>
        <v>23.4</v>
      </c>
      <c r="L61" s="17">
        <f t="shared" si="4"/>
        <v>153.4</v>
      </c>
      <c r="M61" s="17">
        <f t="shared" si="5"/>
        <v>3068</v>
      </c>
      <c r="N61" s="17">
        <f>4+1+1+3</f>
        <v>9</v>
      </c>
      <c r="O61" s="17">
        <f t="shared" si="19"/>
        <v>11</v>
      </c>
      <c r="P61" s="17">
        <f t="shared" si="1"/>
        <v>1687.4</v>
      </c>
      <c r="Q61" s="6" t="s">
        <v>210</v>
      </c>
      <c r="R61" s="18">
        <f t="shared" si="17"/>
        <v>153.4</v>
      </c>
    </row>
    <row r="62" spans="1:18" s="19" customFormat="1" ht="20.25" x14ac:dyDescent="0.3">
      <c r="A62" s="6">
        <f t="shared" si="7"/>
        <v>55</v>
      </c>
      <c r="B62" s="13">
        <v>44162</v>
      </c>
      <c r="C62" s="13">
        <v>44187</v>
      </c>
      <c r="D62" s="14" t="s">
        <v>27</v>
      </c>
      <c r="E62" s="14" t="s">
        <v>388</v>
      </c>
      <c r="F62" s="15">
        <f t="shared" si="18"/>
        <v>33</v>
      </c>
      <c r="G62" s="15">
        <f t="shared" si="0"/>
        <v>856.68000000000006</v>
      </c>
      <c r="H62" s="6" t="s">
        <v>181</v>
      </c>
      <c r="I62" s="16">
        <v>40</v>
      </c>
      <c r="J62" s="17">
        <v>22</v>
      </c>
      <c r="K62" s="17">
        <f t="shared" si="3"/>
        <v>3.96</v>
      </c>
      <c r="L62" s="17">
        <f t="shared" si="4"/>
        <v>25.96</v>
      </c>
      <c r="M62" s="17">
        <f t="shared" si="5"/>
        <v>1038.4000000000001</v>
      </c>
      <c r="N62" s="17">
        <f>3+3+1</f>
        <v>7</v>
      </c>
      <c r="O62" s="17">
        <f t="shared" si="19"/>
        <v>33</v>
      </c>
      <c r="P62" s="17">
        <f t="shared" si="1"/>
        <v>856.68000000000006</v>
      </c>
      <c r="Q62" s="6" t="s">
        <v>368</v>
      </c>
      <c r="R62" s="18">
        <f t="shared" si="17"/>
        <v>25.96</v>
      </c>
    </row>
    <row r="63" spans="1:18" s="19" customFormat="1" ht="20.25" x14ac:dyDescent="0.3">
      <c r="A63" s="6">
        <f t="shared" si="7"/>
        <v>56</v>
      </c>
      <c r="B63" s="13">
        <v>44162</v>
      </c>
      <c r="C63" s="13">
        <v>44187</v>
      </c>
      <c r="D63" s="14" t="s">
        <v>29</v>
      </c>
      <c r="E63" s="14" t="s">
        <v>389</v>
      </c>
      <c r="F63" s="15">
        <f t="shared" si="18"/>
        <v>28</v>
      </c>
      <c r="G63" s="15">
        <f t="shared" si="0"/>
        <v>363.44</v>
      </c>
      <c r="H63" s="6" t="s">
        <v>181</v>
      </c>
      <c r="I63" s="16">
        <v>40</v>
      </c>
      <c r="J63" s="17">
        <v>11</v>
      </c>
      <c r="K63" s="17">
        <f t="shared" si="3"/>
        <v>1.98</v>
      </c>
      <c r="L63" s="17">
        <f t="shared" si="4"/>
        <v>12.98</v>
      </c>
      <c r="M63" s="17">
        <f t="shared" si="5"/>
        <v>519.20000000000005</v>
      </c>
      <c r="N63" s="17">
        <f>5+3+2+1+1</f>
        <v>12</v>
      </c>
      <c r="O63" s="17">
        <f t="shared" si="19"/>
        <v>28</v>
      </c>
      <c r="P63" s="17">
        <f t="shared" si="1"/>
        <v>363.44</v>
      </c>
      <c r="Q63" s="6" t="s">
        <v>368</v>
      </c>
      <c r="R63" s="18">
        <f t="shared" si="17"/>
        <v>12.98</v>
      </c>
    </row>
    <row r="64" spans="1:18" s="19" customFormat="1" ht="20.25" x14ac:dyDescent="0.3">
      <c r="A64" s="6">
        <f t="shared" si="7"/>
        <v>57</v>
      </c>
      <c r="B64" s="13">
        <v>44162</v>
      </c>
      <c r="C64" s="13">
        <v>44187</v>
      </c>
      <c r="D64" s="14" t="s">
        <v>25</v>
      </c>
      <c r="E64" s="14" t="s">
        <v>26</v>
      </c>
      <c r="F64" s="15">
        <f t="shared" si="18"/>
        <v>4</v>
      </c>
      <c r="G64" s="15">
        <f t="shared" si="0"/>
        <v>424.8</v>
      </c>
      <c r="H64" s="6" t="s">
        <v>181</v>
      </c>
      <c r="I64" s="16">
        <v>4</v>
      </c>
      <c r="J64" s="17">
        <v>90</v>
      </c>
      <c r="K64" s="17">
        <f t="shared" si="3"/>
        <v>16.2</v>
      </c>
      <c r="L64" s="17">
        <f t="shared" si="4"/>
        <v>106.2</v>
      </c>
      <c r="M64" s="17">
        <f t="shared" si="5"/>
        <v>424.8</v>
      </c>
      <c r="N64" s="17">
        <v>0</v>
      </c>
      <c r="O64" s="17">
        <f t="shared" si="19"/>
        <v>4</v>
      </c>
      <c r="P64" s="17">
        <f t="shared" si="1"/>
        <v>424.8</v>
      </c>
      <c r="Q64" s="6" t="s">
        <v>368</v>
      </c>
      <c r="R64" s="18">
        <f t="shared" si="17"/>
        <v>106.2</v>
      </c>
    </row>
    <row r="65" spans="1:19" s="19" customFormat="1" ht="20.25" x14ac:dyDescent="0.3">
      <c r="A65" s="6">
        <f t="shared" si="7"/>
        <v>58</v>
      </c>
      <c r="B65" s="13">
        <v>44162</v>
      </c>
      <c r="C65" s="13">
        <v>44187</v>
      </c>
      <c r="D65" s="14" t="s">
        <v>23</v>
      </c>
      <c r="E65" s="14" t="s">
        <v>24</v>
      </c>
      <c r="F65" s="15">
        <f t="shared" si="18"/>
        <v>4</v>
      </c>
      <c r="G65" s="15">
        <f t="shared" si="0"/>
        <v>269.04000000000002</v>
      </c>
      <c r="H65" s="6" t="s">
        <v>181</v>
      </c>
      <c r="I65" s="16">
        <v>4</v>
      </c>
      <c r="J65" s="17">
        <v>57</v>
      </c>
      <c r="K65" s="17">
        <f t="shared" si="3"/>
        <v>10.26</v>
      </c>
      <c r="L65" s="17">
        <f t="shared" si="4"/>
        <v>67.260000000000005</v>
      </c>
      <c r="M65" s="17">
        <f t="shared" si="5"/>
        <v>269.04000000000002</v>
      </c>
      <c r="N65" s="17">
        <v>0</v>
      </c>
      <c r="O65" s="17">
        <f t="shared" si="19"/>
        <v>4</v>
      </c>
      <c r="P65" s="17">
        <f t="shared" si="1"/>
        <v>269.04000000000002</v>
      </c>
      <c r="Q65" s="6" t="s">
        <v>368</v>
      </c>
      <c r="R65" s="18">
        <f t="shared" si="17"/>
        <v>67.260000000000005</v>
      </c>
    </row>
    <row r="66" spans="1:19" s="19" customFormat="1" ht="20.25" x14ac:dyDescent="0.3">
      <c r="A66" s="6">
        <f t="shared" si="7"/>
        <v>59</v>
      </c>
      <c r="B66" s="13">
        <v>44162</v>
      </c>
      <c r="C66" s="13">
        <v>44187</v>
      </c>
      <c r="D66" s="14" t="s">
        <v>21</v>
      </c>
      <c r="E66" s="14" t="s">
        <v>22</v>
      </c>
      <c r="F66" s="15">
        <f t="shared" si="18"/>
        <v>4</v>
      </c>
      <c r="G66" s="15">
        <f t="shared" si="0"/>
        <v>118</v>
      </c>
      <c r="H66" s="6" t="s">
        <v>181</v>
      </c>
      <c r="I66" s="16">
        <v>4</v>
      </c>
      <c r="J66" s="17">
        <v>25</v>
      </c>
      <c r="K66" s="17">
        <f t="shared" si="3"/>
        <v>4.5</v>
      </c>
      <c r="L66" s="17">
        <f t="shared" si="4"/>
        <v>29.5</v>
      </c>
      <c r="M66" s="17">
        <f t="shared" si="5"/>
        <v>118</v>
      </c>
      <c r="N66" s="17">
        <v>0</v>
      </c>
      <c r="O66" s="17">
        <f t="shared" si="19"/>
        <v>4</v>
      </c>
      <c r="P66" s="17">
        <f t="shared" si="1"/>
        <v>118</v>
      </c>
      <c r="Q66" s="6" t="s">
        <v>368</v>
      </c>
      <c r="R66" s="18">
        <f t="shared" si="17"/>
        <v>29.5</v>
      </c>
    </row>
    <row r="67" spans="1:19" s="19" customFormat="1" ht="20.25" x14ac:dyDescent="0.3">
      <c r="A67" s="6">
        <f t="shared" si="7"/>
        <v>60</v>
      </c>
      <c r="B67" s="13" t="s">
        <v>369</v>
      </c>
      <c r="C67" s="13" t="s">
        <v>325</v>
      </c>
      <c r="D67" s="14" t="s">
        <v>182</v>
      </c>
      <c r="E67" s="14" t="s">
        <v>386</v>
      </c>
      <c r="F67" s="15">
        <f t="shared" si="18"/>
        <v>9</v>
      </c>
      <c r="G67" s="15">
        <f t="shared" si="0"/>
        <v>159.29999999999998</v>
      </c>
      <c r="H67" s="6" t="s">
        <v>169</v>
      </c>
      <c r="I67" s="16">
        <v>20</v>
      </c>
      <c r="J67" s="17">
        <v>15</v>
      </c>
      <c r="K67" s="17">
        <f t="shared" si="3"/>
        <v>2.6999999999999997</v>
      </c>
      <c r="L67" s="17">
        <f t="shared" si="4"/>
        <v>17.7</v>
      </c>
      <c r="M67" s="17">
        <f t="shared" si="5"/>
        <v>354</v>
      </c>
      <c r="N67" s="17">
        <f>5+1+1+3+1</f>
        <v>11</v>
      </c>
      <c r="O67" s="17">
        <f t="shared" si="19"/>
        <v>9</v>
      </c>
      <c r="P67" s="17">
        <f t="shared" si="1"/>
        <v>159.29999999999998</v>
      </c>
      <c r="Q67" s="6" t="s">
        <v>368</v>
      </c>
      <c r="R67" s="18">
        <f t="shared" si="17"/>
        <v>17.7</v>
      </c>
    </row>
    <row r="68" spans="1:19" s="19" customFormat="1" ht="20.25" x14ac:dyDescent="0.3">
      <c r="A68" s="6">
        <f t="shared" si="7"/>
        <v>61</v>
      </c>
      <c r="B68" s="13">
        <v>43252</v>
      </c>
      <c r="C68" s="13">
        <v>43256</v>
      </c>
      <c r="D68" s="14" t="s">
        <v>31</v>
      </c>
      <c r="E68" s="14" t="s">
        <v>32</v>
      </c>
      <c r="F68" s="15">
        <f t="shared" si="18"/>
        <v>1</v>
      </c>
      <c r="G68" s="15">
        <f t="shared" si="0"/>
        <v>2924.04</v>
      </c>
      <c r="H68" s="6" t="s">
        <v>169</v>
      </c>
      <c r="I68" s="16">
        <v>2</v>
      </c>
      <c r="J68" s="17">
        <v>2478</v>
      </c>
      <c r="K68" s="17">
        <f t="shared" si="3"/>
        <v>446.03999999999996</v>
      </c>
      <c r="L68" s="17">
        <f t="shared" si="4"/>
        <v>2924.04</v>
      </c>
      <c r="M68" s="17">
        <f t="shared" si="5"/>
        <v>5848.08</v>
      </c>
      <c r="N68" s="17">
        <v>1</v>
      </c>
      <c r="O68" s="17">
        <f t="shared" si="19"/>
        <v>1</v>
      </c>
      <c r="P68" s="17">
        <f t="shared" si="1"/>
        <v>2924.04</v>
      </c>
      <c r="Q68" s="6"/>
      <c r="R68" s="18">
        <f t="shared" si="17"/>
        <v>2924.04</v>
      </c>
    </row>
    <row r="69" spans="1:19" s="19" customFormat="1" ht="20.25" x14ac:dyDescent="0.3">
      <c r="A69" s="6">
        <f t="shared" si="7"/>
        <v>62</v>
      </c>
      <c r="B69" s="13" t="s">
        <v>324</v>
      </c>
      <c r="C69" s="13" t="s">
        <v>325</v>
      </c>
      <c r="D69" s="14" t="s">
        <v>364</v>
      </c>
      <c r="E69" s="14" t="s">
        <v>345</v>
      </c>
      <c r="F69" s="15">
        <f t="shared" si="18"/>
        <v>14</v>
      </c>
      <c r="G69" s="15">
        <f t="shared" si="0"/>
        <v>5121.2</v>
      </c>
      <c r="H69" s="6" t="s">
        <v>169</v>
      </c>
      <c r="I69" s="16">
        <v>14</v>
      </c>
      <c r="J69" s="17">
        <v>310</v>
      </c>
      <c r="K69" s="17">
        <f t="shared" si="3"/>
        <v>55.8</v>
      </c>
      <c r="L69" s="17">
        <f t="shared" si="4"/>
        <v>365.8</v>
      </c>
      <c r="M69" s="17">
        <f t="shared" si="5"/>
        <v>5121.2</v>
      </c>
      <c r="N69" s="17">
        <v>0</v>
      </c>
      <c r="O69" s="17">
        <f t="shared" si="19"/>
        <v>14</v>
      </c>
      <c r="P69" s="17">
        <f t="shared" si="1"/>
        <v>5121.2</v>
      </c>
      <c r="Q69" s="6" t="s">
        <v>330</v>
      </c>
      <c r="R69" s="18"/>
      <c r="S69" s="20"/>
    </row>
    <row r="70" spans="1:19" s="19" customFormat="1" ht="20.25" x14ac:dyDescent="0.3">
      <c r="A70" s="6">
        <f t="shared" si="7"/>
        <v>63</v>
      </c>
      <c r="B70" s="13" t="s">
        <v>324</v>
      </c>
      <c r="C70" s="13" t="s">
        <v>325</v>
      </c>
      <c r="D70" s="14" t="s">
        <v>365</v>
      </c>
      <c r="E70" s="14" t="s">
        <v>366</v>
      </c>
      <c r="F70" s="15">
        <f t="shared" si="18"/>
        <v>7</v>
      </c>
      <c r="G70" s="15">
        <f t="shared" si="0"/>
        <v>5451.5999999999995</v>
      </c>
      <c r="H70" s="6" t="s">
        <v>352</v>
      </c>
      <c r="I70" s="16">
        <v>7</v>
      </c>
      <c r="J70" s="17">
        <v>660</v>
      </c>
      <c r="K70" s="17">
        <f t="shared" si="3"/>
        <v>118.8</v>
      </c>
      <c r="L70" s="17">
        <f t="shared" si="4"/>
        <v>778.8</v>
      </c>
      <c r="M70" s="17">
        <f t="shared" si="5"/>
        <v>5451.5999999999995</v>
      </c>
      <c r="N70" s="17">
        <v>0</v>
      </c>
      <c r="O70" s="17">
        <f t="shared" si="19"/>
        <v>7</v>
      </c>
      <c r="P70" s="17">
        <f t="shared" si="1"/>
        <v>5451.5999999999995</v>
      </c>
      <c r="Q70" s="6" t="s">
        <v>330</v>
      </c>
      <c r="R70" s="18"/>
      <c r="S70" s="20"/>
    </row>
    <row r="71" spans="1:19" s="19" customFormat="1" ht="20.25" x14ac:dyDescent="0.3">
      <c r="A71" s="6">
        <f t="shared" si="7"/>
        <v>64</v>
      </c>
      <c r="B71" s="13">
        <v>44020</v>
      </c>
      <c r="C71" s="13">
        <v>44033</v>
      </c>
      <c r="D71" s="14" t="s">
        <v>183</v>
      </c>
      <c r="E71" s="14" t="s">
        <v>306</v>
      </c>
      <c r="F71" s="15">
        <f t="shared" si="18"/>
        <v>8</v>
      </c>
      <c r="G71" s="15">
        <f t="shared" si="0"/>
        <v>46256</v>
      </c>
      <c r="H71" s="6" t="s">
        <v>169</v>
      </c>
      <c r="I71" s="16">
        <v>10</v>
      </c>
      <c r="J71" s="17">
        <v>4900</v>
      </c>
      <c r="K71" s="17">
        <f t="shared" si="3"/>
        <v>882</v>
      </c>
      <c r="L71" s="17">
        <f t="shared" si="4"/>
        <v>5782</v>
      </c>
      <c r="M71" s="17">
        <f t="shared" si="5"/>
        <v>57820</v>
      </c>
      <c r="N71" s="17">
        <v>2</v>
      </c>
      <c r="O71" s="17">
        <f t="shared" si="19"/>
        <v>8</v>
      </c>
      <c r="P71" s="17">
        <f t="shared" si="1"/>
        <v>46256</v>
      </c>
      <c r="Q71" s="6" t="s">
        <v>305</v>
      </c>
      <c r="R71" s="18">
        <f t="shared" ref="R71:R77" si="20">P71/O71</f>
        <v>5782</v>
      </c>
    </row>
    <row r="72" spans="1:19" s="19" customFormat="1" ht="20.25" x14ac:dyDescent="0.3">
      <c r="A72" s="6">
        <f t="shared" si="7"/>
        <v>65</v>
      </c>
      <c r="B72" s="13">
        <v>44020</v>
      </c>
      <c r="C72" s="13">
        <v>44033</v>
      </c>
      <c r="D72" s="14" t="s">
        <v>285</v>
      </c>
      <c r="E72" s="14" t="s">
        <v>307</v>
      </c>
      <c r="F72" s="15">
        <f t="shared" si="18"/>
        <v>4</v>
      </c>
      <c r="G72" s="15">
        <f t="shared" ref="G72:G78" si="21">$O72*$L72</f>
        <v>21240</v>
      </c>
      <c r="H72" s="6" t="s">
        <v>169</v>
      </c>
      <c r="I72" s="16">
        <v>4</v>
      </c>
      <c r="J72" s="17">
        <v>4500</v>
      </c>
      <c r="K72" s="17">
        <f t="shared" si="3"/>
        <v>810</v>
      </c>
      <c r="L72" s="17">
        <f t="shared" si="4"/>
        <v>5310</v>
      </c>
      <c r="M72" s="17">
        <f t="shared" si="5"/>
        <v>21240</v>
      </c>
      <c r="N72" s="17">
        <v>0</v>
      </c>
      <c r="O72" s="17">
        <f t="shared" si="19"/>
        <v>4</v>
      </c>
      <c r="P72" s="17">
        <f t="shared" ref="P72:P78" si="22">$O72*$L72</f>
        <v>21240</v>
      </c>
      <c r="Q72" s="6" t="s">
        <v>305</v>
      </c>
      <c r="R72" s="18">
        <f t="shared" si="20"/>
        <v>5310</v>
      </c>
    </row>
    <row r="73" spans="1:19" s="19" customFormat="1" ht="20.25" x14ac:dyDescent="0.3">
      <c r="A73" s="6">
        <f t="shared" si="7"/>
        <v>66</v>
      </c>
      <c r="B73" s="13">
        <v>43609</v>
      </c>
      <c r="C73" s="13">
        <v>43612</v>
      </c>
      <c r="D73" s="14" t="s">
        <v>183</v>
      </c>
      <c r="E73" s="14" t="s">
        <v>184</v>
      </c>
      <c r="F73" s="15">
        <f t="shared" si="18"/>
        <v>0</v>
      </c>
      <c r="G73" s="15">
        <f t="shared" si="21"/>
        <v>0</v>
      </c>
      <c r="H73" s="6" t="s">
        <v>169</v>
      </c>
      <c r="I73" s="16">
        <v>8</v>
      </c>
      <c r="J73" s="17">
        <v>350</v>
      </c>
      <c r="K73" s="17">
        <f>+J73*18%</f>
        <v>63</v>
      </c>
      <c r="L73" s="17">
        <f>+J73+K73</f>
        <v>413</v>
      </c>
      <c r="M73" s="17">
        <f t="shared" ref="M73:M82" si="23">$I73*$L73</f>
        <v>3304</v>
      </c>
      <c r="N73" s="17">
        <f>3+1+1+3</f>
        <v>8</v>
      </c>
      <c r="O73" s="17">
        <f t="shared" si="19"/>
        <v>0</v>
      </c>
      <c r="P73" s="17">
        <f t="shared" si="22"/>
        <v>0</v>
      </c>
      <c r="Q73" s="6" t="s">
        <v>210</v>
      </c>
      <c r="R73" s="18" t="e">
        <f t="shared" si="20"/>
        <v>#DIV/0!</v>
      </c>
    </row>
    <row r="74" spans="1:19" s="19" customFormat="1" ht="20.25" x14ac:dyDescent="0.3">
      <c r="A74" s="6">
        <f t="shared" ref="A74:A137" si="24">A73+1</f>
        <v>67</v>
      </c>
      <c r="B74" s="13">
        <v>43609</v>
      </c>
      <c r="C74" s="13">
        <v>43612</v>
      </c>
      <c r="D74" s="14" t="s">
        <v>33</v>
      </c>
      <c r="E74" s="14" t="s">
        <v>34</v>
      </c>
      <c r="F74" s="15">
        <f t="shared" si="18"/>
        <v>24</v>
      </c>
      <c r="G74" s="15">
        <f t="shared" si="21"/>
        <v>5664</v>
      </c>
      <c r="H74" s="6" t="s">
        <v>169</v>
      </c>
      <c r="I74" s="16">
        <v>30</v>
      </c>
      <c r="J74" s="17">
        <v>200</v>
      </c>
      <c r="K74" s="17">
        <f>+J74*18%</f>
        <v>36</v>
      </c>
      <c r="L74" s="17">
        <f>+J74+K74</f>
        <v>236</v>
      </c>
      <c r="M74" s="17">
        <f t="shared" si="23"/>
        <v>7080</v>
      </c>
      <c r="N74" s="17">
        <v>6</v>
      </c>
      <c r="O74" s="17">
        <f t="shared" si="19"/>
        <v>24</v>
      </c>
      <c r="P74" s="17">
        <f t="shared" si="22"/>
        <v>5664</v>
      </c>
      <c r="Q74" s="6" t="s">
        <v>210</v>
      </c>
      <c r="R74" s="18">
        <f t="shared" si="20"/>
        <v>236</v>
      </c>
    </row>
    <row r="75" spans="1:19" s="19" customFormat="1" ht="20.25" x14ac:dyDescent="0.3">
      <c r="A75" s="6">
        <f t="shared" si="24"/>
        <v>68</v>
      </c>
      <c r="B75" s="13">
        <v>43830</v>
      </c>
      <c r="C75" s="13">
        <v>43858</v>
      </c>
      <c r="D75" s="14" t="s">
        <v>268</v>
      </c>
      <c r="E75" s="14" t="s">
        <v>269</v>
      </c>
      <c r="F75" s="15">
        <f t="shared" si="18"/>
        <v>1</v>
      </c>
      <c r="G75" s="15">
        <f t="shared" si="21"/>
        <v>10500</v>
      </c>
      <c r="H75" s="6" t="s">
        <v>169</v>
      </c>
      <c r="I75" s="16">
        <v>1</v>
      </c>
      <c r="J75" s="17">
        <f>10500</f>
        <v>10500</v>
      </c>
      <c r="K75" s="17">
        <v>0</v>
      </c>
      <c r="L75" s="17">
        <f t="shared" si="4"/>
        <v>10500</v>
      </c>
      <c r="M75" s="17">
        <f t="shared" si="23"/>
        <v>10500</v>
      </c>
      <c r="N75" s="17">
        <v>0</v>
      </c>
      <c r="O75" s="17">
        <f t="shared" si="19"/>
        <v>1</v>
      </c>
      <c r="P75" s="17">
        <f t="shared" si="22"/>
        <v>10500</v>
      </c>
      <c r="Q75" s="6" t="s">
        <v>260</v>
      </c>
      <c r="R75" s="18">
        <f t="shared" si="20"/>
        <v>10500</v>
      </c>
    </row>
    <row r="76" spans="1:19" s="19" customFormat="1" ht="20.25" x14ac:dyDescent="0.3">
      <c r="A76" s="6">
        <f t="shared" si="24"/>
        <v>69</v>
      </c>
      <c r="B76" s="13">
        <v>43830</v>
      </c>
      <c r="C76" s="13">
        <v>43859</v>
      </c>
      <c r="D76" s="14" t="s">
        <v>35</v>
      </c>
      <c r="E76" s="21" t="s">
        <v>264</v>
      </c>
      <c r="F76" s="15">
        <f t="shared" si="18"/>
        <v>147</v>
      </c>
      <c r="G76" s="15">
        <f t="shared" si="21"/>
        <v>1014.3000000000001</v>
      </c>
      <c r="H76" s="6" t="s">
        <v>185</v>
      </c>
      <c r="I76" s="16">
        <v>200</v>
      </c>
      <c r="J76" s="17">
        <f>6.9</f>
        <v>6.9</v>
      </c>
      <c r="K76" s="17">
        <v>0</v>
      </c>
      <c r="L76" s="17">
        <f>+J76</f>
        <v>6.9</v>
      </c>
      <c r="M76" s="17">
        <f t="shared" si="23"/>
        <v>1380</v>
      </c>
      <c r="N76" s="17">
        <f>10+10+19+1+1+2+2+2+2+2+2</f>
        <v>53</v>
      </c>
      <c r="O76" s="17">
        <f>$I76-$N76</f>
        <v>147</v>
      </c>
      <c r="P76" s="17">
        <f>$O76*$L76</f>
        <v>1014.3000000000001</v>
      </c>
      <c r="Q76" s="6" t="s">
        <v>260</v>
      </c>
      <c r="R76" s="18">
        <f t="shared" si="20"/>
        <v>6.9</v>
      </c>
    </row>
    <row r="77" spans="1:19" s="19" customFormat="1" ht="20.25" x14ac:dyDescent="0.3">
      <c r="A77" s="6">
        <f t="shared" si="24"/>
        <v>70</v>
      </c>
      <c r="B77" s="13">
        <v>43830</v>
      </c>
      <c r="C77" s="13">
        <v>43859</v>
      </c>
      <c r="D77" s="14" t="s">
        <v>36</v>
      </c>
      <c r="E77" s="21" t="s">
        <v>265</v>
      </c>
      <c r="F77" s="15">
        <f t="shared" si="18"/>
        <v>189</v>
      </c>
      <c r="G77" s="15">
        <f t="shared" si="21"/>
        <v>1682.1000000000001</v>
      </c>
      <c r="H77" s="6" t="s">
        <v>185</v>
      </c>
      <c r="I77" s="16">
        <v>200</v>
      </c>
      <c r="J77" s="17">
        <f>8.9</f>
        <v>8.9</v>
      </c>
      <c r="K77" s="17">
        <v>0</v>
      </c>
      <c r="L77" s="17">
        <f>+J77</f>
        <v>8.9</v>
      </c>
      <c r="M77" s="17">
        <f t="shared" si="23"/>
        <v>1780</v>
      </c>
      <c r="N77" s="17">
        <f>5+3+1+2</f>
        <v>11</v>
      </c>
      <c r="O77" s="17">
        <f t="shared" si="19"/>
        <v>189</v>
      </c>
      <c r="P77" s="17">
        <f t="shared" si="22"/>
        <v>1682.1000000000001</v>
      </c>
      <c r="Q77" s="6" t="s">
        <v>260</v>
      </c>
      <c r="R77" s="18">
        <f t="shared" si="20"/>
        <v>8.9</v>
      </c>
    </row>
    <row r="78" spans="1:19" s="19" customFormat="1" ht="20.25" x14ac:dyDescent="0.3">
      <c r="A78" s="6">
        <f t="shared" si="24"/>
        <v>71</v>
      </c>
      <c r="B78" s="13" t="s">
        <v>324</v>
      </c>
      <c r="C78" s="13" t="s">
        <v>325</v>
      </c>
      <c r="D78" s="14" t="s">
        <v>331</v>
      </c>
      <c r="E78" s="21" t="s">
        <v>332</v>
      </c>
      <c r="F78" s="15">
        <f t="shared" si="18"/>
        <v>4</v>
      </c>
      <c r="G78" s="15">
        <f t="shared" si="21"/>
        <v>896.8</v>
      </c>
      <c r="H78" s="6" t="s">
        <v>169</v>
      </c>
      <c r="I78" s="16">
        <v>4</v>
      </c>
      <c r="J78" s="17">
        <v>190</v>
      </c>
      <c r="K78" s="17">
        <f t="shared" ref="K78" si="25">+J78*18%</f>
        <v>34.199999999999996</v>
      </c>
      <c r="L78" s="17">
        <f t="shared" si="4"/>
        <v>224.2</v>
      </c>
      <c r="M78" s="17">
        <f t="shared" si="23"/>
        <v>896.8</v>
      </c>
      <c r="N78" s="17">
        <v>0</v>
      </c>
      <c r="O78" s="17">
        <f t="shared" si="19"/>
        <v>4</v>
      </c>
      <c r="P78" s="17">
        <f t="shared" si="22"/>
        <v>896.8</v>
      </c>
      <c r="Q78" s="6" t="s">
        <v>330</v>
      </c>
      <c r="R78" s="18"/>
    </row>
    <row r="79" spans="1:19" s="19" customFormat="1" ht="20.25" x14ac:dyDescent="0.3">
      <c r="A79" s="6">
        <f t="shared" si="24"/>
        <v>72</v>
      </c>
      <c r="B79" s="13">
        <v>43609</v>
      </c>
      <c r="C79" s="13">
        <v>43612</v>
      </c>
      <c r="D79" s="14" t="s">
        <v>38</v>
      </c>
      <c r="E79" s="14" t="s">
        <v>37</v>
      </c>
      <c r="F79" s="15">
        <f t="shared" si="18"/>
        <v>7</v>
      </c>
      <c r="G79" s="15">
        <f>$J79*F79</f>
        <v>1458.3309999999999</v>
      </c>
      <c r="H79" s="6" t="s">
        <v>169</v>
      </c>
      <c r="I79" s="16">
        <f>6*12</f>
        <v>72</v>
      </c>
      <c r="J79" s="17">
        <v>208.333</v>
      </c>
      <c r="K79" s="17">
        <v>0</v>
      </c>
      <c r="L79" s="17">
        <v>208.33</v>
      </c>
      <c r="M79" s="17">
        <f t="shared" si="23"/>
        <v>14999.76</v>
      </c>
      <c r="N79" s="17">
        <f>50+12+1+2</f>
        <v>65</v>
      </c>
      <c r="O79" s="17">
        <f t="shared" si="19"/>
        <v>7</v>
      </c>
      <c r="P79" s="17">
        <f>$J79*O79</f>
        <v>1458.3309999999999</v>
      </c>
      <c r="Q79" s="6" t="s">
        <v>210</v>
      </c>
      <c r="R79" s="18">
        <f>P79/O79</f>
        <v>208.333</v>
      </c>
    </row>
    <row r="80" spans="1:19" s="19" customFormat="1" ht="20.25" x14ac:dyDescent="0.3">
      <c r="A80" s="6">
        <f t="shared" si="24"/>
        <v>73</v>
      </c>
      <c r="B80" s="13" t="s">
        <v>369</v>
      </c>
      <c r="C80" s="13" t="s">
        <v>325</v>
      </c>
      <c r="D80" s="14" t="s">
        <v>40</v>
      </c>
      <c r="E80" s="14" t="s">
        <v>371</v>
      </c>
      <c r="F80" s="15">
        <f t="shared" si="18"/>
        <v>131</v>
      </c>
      <c r="G80" s="15">
        <f>$O80*$L80</f>
        <v>1637.5</v>
      </c>
      <c r="H80" s="6" t="s">
        <v>169</v>
      </c>
      <c r="I80" s="16">
        <v>132</v>
      </c>
      <c r="J80" s="17">
        <v>12.5</v>
      </c>
      <c r="K80" s="17">
        <v>0</v>
      </c>
      <c r="L80" s="17">
        <f t="shared" ref="L80" si="26">+J80+K80</f>
        <v>12.5</v>
      </c>
      <c r="M80" s="17">
        <f t="shared" si="23"/>
        <v>1650</v>
      </c>
      <c r="N80" s="17">
        <v>1</v>
      </c>
      <c r="O80" s="17">
        <f t="shared" si="19"/>
        <v>131</v>
      </c>
      <c r="P80" s="17">
        <f>$O80*$L80</f>
        <v>1637.5</v>
      </c>
      <c r="Q80" s="6" t="s">
        <v>368</v>
      </c>
      <c r="R80" s="18"/>
    </row>
    <row r="81" spans="1:19" s="19" customFormat="1" ht="20.25" x14ac:dyDescent="0.3">
      <c r="A81" s="6">
        <f t="shared" si="24"/>
        <v>74</v>
      </c>
      <c r="B81" s="13">
        <v>43252</v>
      </c>
      <c r="C81" s="13">
        <v>43253</v>
      </c>
      <c r="D81" s="14" t="s">
        <v>38</v>
      </c>
      <c r="E81" s="14" t="s">
        <v>39</v>
      </c>
      <c r="F81" s="15">
        <f t="shared" si="18"/>
        <v>36</v>
      </c>
      <c r="G81" s="15">
        <f>$O81*$L81</f>
        <v>2973.6</v>
      </c>
      <c r="H81" s="6" t="s">
        <v>169</v>
      </c>
      <c r="I81" s="16">
        <f>57</f>
        <v>57</v>
      </c>
      <c r="J81" s="17">
        <v>70</v>
      </c>
      <c r="K81" s="17">
        <f>+J81*18%</f>
        <v>12.6</v>
      </c>
      <c r="L81" s="17">
        <f>+J81+K81</f>
        <v>82.6</v>
      </c>
      <c r="M81" s="17">
        <f t="shared" si="23"/>
        <v>4708.2</v>
      </c>
      <c r="N81" s="17">
        <f>16+1+1+2+1</f>
        <v>21</v>
      </c>
      <c r="O81" s="17">
        <f t="shared" si="19"/>
        <v>36</v>
      </c>
      <c r="P81" s="17">
        <f>$O81*$L81</f>
        <v>2973.6</v>
      </c>
      <c r="R81" s="18">
        <f t="shared" ref="R81:R90" si="27">P81/O81</f>
        <v>82.6</v>
      </c>
    </row>
    <row r="82" spans="1:19" s="19" customFormat="1" ht="20.25" x14ac:dyDescent="0.3">
      <c r="A82" s="6">
        <f t="shared" si="24"/>
        <v>75</v>
      </c>
      <c r="B82" s="13">
        <v>43207</v>
      </c>
      <c r="C82" s="13">
        <v>43208</v>
      </c>
      <c r="D82" s="14" t="s">
        <v>40</v>
      </c>
      <c r="E82" s="14" t="s">
        <v>41</v>
      </c>
      <c r="F82" s="15">
        <f t="shared" si="18"/>
        <v>14</v>
      </c>
      <c r="G82" s="15">
        <f>$O82*$L82</f>
        <v>1156.3999999999999</v>
      </c>
      <c r="H82" s="6" t="s">
        <v>169</v>
      </c>
      <c r="I82" s="16">
        <f>12+2</f>
        <v>14</v>
      </c>
      <c r="J82" s="17">
        <v>70</v>
      </c>
      <c r="K82" s="17">
        <f t="shared" si="3"/>
        <v>12.6</v>
      </c>
      <c r="L82" s="17">
        <f t="shared" si="4"/>
        <v>82.6</v>
      </c>
      <c r="M82" s="17">
        <f t="shared" si="23"/>
        <v>1156.3999999999999</v>
      </c>
      <c r="N82" s="17">
        <v>0</v>
      </c>
      <c r="O82" s="17">
        <f t="shared" si="19"/>
        <v>14</v>
      </c>
      <c r="P82" s="17">
        <f>$O82*$L82</f>
        <v>1156.3999999999999</v>
      </c>
      <c r="Q82" s="6"/>
      <c r="R82" s="18">
        <f t="shared" si="27"/>
        <v>82.6</v>
      </c>
    </row>
    <row r="83" spans="1:19" s="19" customFormat="1" ht="20.25" x14ac:dyDescent="0.3">
      <c r="A83" s="6">
        <f t="shared" si="24"/>
        <v>76</v>
      </c>
      <c r="B83" s="13">
        <v>43609</v>
      </c>
      <c r="C83" s="13">
        <v>43612</v>
      </c>
      <c r="D83" s="14" t="s">
        <v>38</v>
      </c>
      <c r="E83" s="14" t="s">
        <v>41</v>
      </c>
      <c r="F83" s="15">
        <f t="shared" si="18"/>
        <v>20</v>
      </c>
      <c r="G83" s="15">
        <v>5000</v>
      </c>
      <c r="H83" s="6" t="s">
        <v>169</v>
      </c>
      <c r="I83" s="16">
        <v>24</v>
      </c>
      <c r="J83" s="17">
        <v>208.33</v>
      </c>
      <c r="K83" s="17">
        <v>0</v>
      </c>
      <c r="L83" s="17">
        <v>0</v>
      </c>
      <c r="M83" s="17">
        <v>5000</v>
      </c>
      <c r="N83" s="17">
        <v>4</v>
      </c>
      <c r="O83" s="17">
        <f t="shared" si="19"/>
        <v>20</v>
      </c>
      <c r="P83" s="17">
        <v>5000</v>
      </c>
      <c r="Q83" s="6" t="s">
        <v>210</v>
      </c>
      <c r="R83" s="18">
        <f t="shared" si="27"/>
        <v>250</v>
      </c>
    </row>
    <row r="84" spans="1:19" s="19" customFormat="1" ht="20.25" x14ac:dyDescent="0.3">
      <c r="A84" s="6">
        <f t="shared" si="24"/>
        <v>77</v>
      </c>
      <c r="B84" s="13">
        <v>43207</v>
      </c>
      <c r="C84" s="13">
        <v>43208</v>
      </c>
      <c r="D84" s="14" t="s">
        <v>69</v>
      </c>
      <c r="E84" s="14" t="s">
        <v>70</v>
      </c>
      <c r="F84" s="15">
        <f t="shared" si="18"/>
        <v>1842</v>
      </c>
      <c r="G84" s="15">
        <f t="shared" ref="G84:G120" si="28">$O84*$L84</f>
        <v>2738.6856000000002</v>
      </c>
      <c r="H84" s="6" t="s">
        <v>191</v>
      </c>
      <c r="I84" s="16">
        <v>2158</v>
      </c>
      <c r="J84" s="17">
        <v>1.26</v>
      </c>
      <c r="K84" s="17">
        <f>+J84*18%</f>
        <v>0.2268</v>
      </c>
      <c r="L84" s="17">
        <f>+J84+K84</f>
        <v>1.4868000000000001</v>
      </c>
      <c r="M84" s="17">
        <f t="shared" ref="M84:M120" si="29">$I84*$L84</f>
        <v>3208.5144000000005</v>
      </c>
      <c r="N84" s="17">
        <f>158+158</f>
        <v>316</v>
      </c>
      <c r="O84" s="17">
        <f t="shared" si="19"/>
        <v>1842</v>
      </c>
      <c r="P84" s="17">
        <f t="shared" ref="P84:P120" si="30">$O84*$L84</f>
        <v>2738.6856000000002</v>
      </c>
      <c r="R84" s="18">
        <f t="shared" si="27"/>
        <v>1.4868000000000001</v>
      </c>
      <c r="S84" s="20"/>
    </row>
    <row r="85" spans="1:19" s="19" customFormat="1" ht="20.25" x14ac:dyDescent="0.3">
      <c r="A85" s="6">
        <f t="shared" si="24"/>
        <v>78</v>
      </c>
      <c r="B85" s="13">
        <v>43609</v>
      </c>
      <c r="C85" s="13">
        <v>43612</v>
      </c>
      <c r="D85" s="14" t="s">
        <v>69</v>
      </c>
      <c r="E85" s="14" t="s">
        <v>70</v>
      </c>
      <c r="F85" s="15">
        <f t="shared" si="18"/>
        <v>998</v>
      </c>
      <c r="G85" s="15">
        <f t="shared" si="28"/>
        <v>294.40999999999997</v>
      </c>
      <c r="H85" s="6" t="s">
        <v>191</v>
      </c>
      <c r="I85" s="16">
        <v>1000</v>
      </c>
      <c r="J85" s="17">
        <v>0.25</v>
      </c>
      <c r="K85" s="17">
        <f>+J85*18%</f>
        <v>4.4999999999999998E-2</v>
      </c>
      <c r="L85" s="17">
        <f>+J85+K85</f>
        <v>0.29499999999999998</v>
      </c>
      <c r="M85" s="17">
        <f t="shared" si="29"/>
        <v>295</v>
      </c>
      <c r="N85" s="17">
        <v>2</v>
      </c>
      <c r="O85" s="17">
        <f t="shared" si="19"/>
        <v>998</v>
      </c>
      <c r="P85" s="17">
        <f t="shared" si="30"/>
        <v>294.40999999999997</v>
      </c>
      <c r="Q85" s="6" t="s">
        <v>210</v>
      </c>
      <c r="R85" s="18">
        <f t="shared" si="27"/>
        <v>0.29499999999999998</v>
      </c>
      <c r="S85" s="20"/>
    </row>
    <row r="86" spans="1:19" s="19" customFormat="1" ht="20.25" x14ac:dyDescent="0.3">
      <c r="A86" s="6">
        <f t="shared" si="24"/>
        <v>79</v>
      </c>
      <c r="B86" s="13">
        <v>43252</v>
      </c>
      <c r="C86" s="13">
        <v>43253</v>
      </c>
      <c r="D86" s="14" t="s">
        <v>52</v>
      </c>
      <c r="E86" s="14" t="s">
        <v>53</v>
      </c>
      <c r="F86" s="15">
        <f t="shared" si="18"/>
        <v>3</v>
      </c>
      <c r="G86" s="15">
        <f t="shared" si="28"/>
        <v>1101.3333333333333</v>
      </c>
      <c r="H86" s="6" t="s">
        <v>181</v>
      </c>
      <c r="I86" s="16">
        <v>15</v>
      </c>
      <c r="J86" s="17">
        <v>311.11111111111109</v>
      </c>
      <c r="K86" s="17">
        <f>+J86*18%</f>
        <v>55.999999999999993</v>
      </c>
      <c r="L86" s="17">
        <f>+J86+K86</f>
        <v>367.11111111111109</v>
      </c>
      <c r="M86" s="17">
        <f t="shared" si="29"/>
        <v>5506.6666666666661</v>
      </c>
      <c r="N86" s="17">
        <v>12</v>
      </c>
      <c r="O86" s="17">
        <f t="shared" si="19"/>
        <v>3</v>
      </c>
      <c r="P86" s="17">
        <f t="shared" si="30"/>
        <v>1101.3333333333333</v>
      </c>
      <c r="Q86" s="6"/>
      <c r="R86" s="18">
        <f t="shared" si="27"/>
        <v>367.11111111111109</v>
      </c>
      <c r="S86" s="20"/>
    </row>
    <row r="87" spans="1:19" s="19" customFormat="1" ht="20.25" x14ac:dyDescent="0.3">
      <c r="A87" s="6">
        <f t="shared" si="24"/>
        <v>80</v>
      </c>
      <c r="B87" s="13">
        <v>43657</v>
      </c>
      <c r="C87" s="13">
        <v>43677</v>
      </c>
      <c r="D87" s="14" t="s">
        <v>253</v>
      </c>
      <c r="E87" s="14" t="s">
        <v>252</v>
      </c>
      <c r="F87" s="15">
        <f t="shared" si="18"/>
        <v>3</v>
      </c>
      <c r="G87" s="15">
        <f t="shared" si="28"/>
        <v>148.68</v>
      </c>
      <c r="H87" s="6" t="s">
        <v>169</v>
      </c>
      <c r="I87" s="16">
        <v>500</v>
      </c>
      <c r="J87" s="17">
        <v>42</v>
      </c>
      <c r="K87" s="17">
        <f>+J87*18%</f>
        <v>7.56</v>
      </c>
      <c r="L87" s="17">
        <f>+J87+K87</f>
        <v>49.56</v>
      </c>
      <c r="M87" s="17">
        <f t="shared" si="29"/>
        <v>24780</v>
      </c>
      <c r="N87" s="17">
        <f>54+20+35+12+100+150+30+25+3+12+16+1+1+1+30+7</f>
        <v>497</v>
      </c>
      <c r="O87" s="17">
        <f t="shared" si="19"/>
        <v>3</v>
      </c>
      <c r="P87" s="17">
        <f t="shared" si="30"/>
        <v>148.68</v>
      </c>
      <c r="Q87" s="6" t="s">
        <v>256</v>
      </c>
      <c r="R87" s="18">
        <f t="shared" si="27"/>
        <v>49.56</v>
      </c>
      <c r="S87" s="20"/>
    </row>
    <row r="88" spans="1:19" s="19" customFormat="1" ht="20.25" x14ac:dyDescent="0.3">
      <c r="A88" s="6">
        <f t="shared" si="24"/>
        <v>81</v>
      </c>
      <c r="B88" s="13">
        <v>43252</v>
      </c>
      <c r="C88" s="13">
        <v>43253</v>
      </c>
      <c r="D88" s="14" t="s">
        <v>50</v>
      </c>
      <c r="E88" s="14" t="s">
        <v>51</v>
      </c>
      <c r="F88" s="15">
        <f t="shared" si="18"/>
        <v>24</v>
      </c>
      <c r="G88" s="15">
        <f t="shared" si="28"/>
        <v>225.14400000000001</v>
      </c>
      <c r="H88" s="6" t="s">
        <v>186</v>
      </c>
      <c r="I88" s="16">
        <v>362</v>
      </c>
      <c r="J88" s="17">
        <v>7.95</v>
      </c>
      <c r="K88" s="17">
        <f>+J88*18%</f>
        <v>1.431</v>
      </c>
      <c r="L88" s="17">
        <f>+J88+K88</f>
        <v>9.3810000000000002</v>
      </c>
      <c r="M88" s="17">
        <f t="shared" si="29"/>
        <v>3395.922</v>
      </c>
      <c r="N88" s="17">
        <f>18+255+6+43+6+10</f>
        <v>338</v>
      </c>
      <c r="O88" s="17">
        <f t="shared" si="19"/>
        <v>24</v>
      </c>
      <c r="P88" s="17">
        <f t="shared" si="30"/>
        <v>225.14400000000001</v>
      </c>
      <c r="Q88" s="6"/>
      <c r="R88" s="18">
        <f t="shared" si="27"/>
        <v>9.3810000000000002</v>
      </c>
      <c r="S88" s="20"/>
    </row>
    <row r="89" spans="1:19" s="19" customFormat="1" ht="20.25" x14ac:dyDescent="0.3">
      <c r="A89" s="6">
        <f t="shared" si="24"/>
        <v>82</v>
      </c>
      <c r="B89" s="13">
        <v>43830</v>
      </c>
      <c r="C89" s="13">
        <v>43859</v>
      </c>
      <c r="D89" s="14" t="s">
        <v>50</v>
      </c>
      <c r="E89" s="14" t="s">
        <v>261</v>
      </c>
      <c r="F89" s="15">
        <f t="shared" si="18"/>
        <v>1485</v>
      </c>
      <c r="G89" s="15">
        <f t="shared" si="28"/>
        <v>11137.5</v>
      </c>
      <c r="H89" s="6" t="s">
        <v>218</v>
      </c>
      <c r="I89" s="16">
        <v>1500</v>
      </c>
      <c r="J89" s="17">
        <f>7.5</f>
        <v>7.5</v>
      </c>
      <c r="K89" s="17">
        <v>0</v>
      </c>
      <c r="L89" s="17">
        <f>+J89</f>
        <v>7.5</v>
      </c>
      <c r="M89" s="17">
        <f t="shared" si="29"/>
        <v>11250</v>
      </c>
      <c r="N89" s="17">
        <f>5+5+5</f>
        <v>15</v>
      </c>
      <c r="O89" s="17">
        <f t="shared" si="19"/>
        <v>1485</v>
      </c>
      <c r="P89" s="17">
        <f t="shared" si="30"/>
        <v>11137.5</v>
      </c>
      <c r="Q89" s="6" t="s">
        <v>260</v>
      </c>
      <c r="R89" s="18">
        <f t="shared" si="27"/>
        <v>7.5</v>
      </c>
      <c r="S89" s="20"/>
    </row>
    <row r="90" spans="1:19" s="19" customFormat="1" ht="20.25" x14ac:dyDescent="0.3">
      <c r="A90" s="6">
        <f t="shared" si="24"/>
        <v>83</v>
      </c>
      <c r="B90" s="13">
        <v>43252</v>
      </c>
      <c r="C90" s="13">
        <v>43253</v>
      </c>
      <c r="D90" s="14" t="s">
        <v>48</v>
      </c>
      <c r="E90" s="14" t="s">
        <v>49</v>
      </c>
      <c r="F90" s="15">
        <f t="shared" si="18"/>
        <v>25</v>
      </c>
      <c r="G90" s="15">
        <f t="shared" si="28"/>
        <v>6107.7464788732395</v>
      </c>
      <c r="H90" s="6" t="s">
        <v>178</v>
      </c>
      <c r="I90" s="16">
        <v>29</v>
      </c>
      <c r="J90" s="17">
        <v>207.04225352112675</v>
      </c>
      <c r="K90" s="17">
        <f t="shared" ref="K90:K103" si="31">+J90*18%</f>
        <v>37.267605633802816</v>
      </c>
      <c r="L90" s="17">
        <f t="shared" ref="L90:L119" si="32">+J90+K90</f>
        <v>244.30985915492957</v>
      </c>
      <c r="M90" s="17">
        <f t="shared" si="29"/>
        <v>7084.9859154929572</v>
      </c>
      <c r="N90" s="17">
        <f>3+1</f>
        <v>4</v>
      </c>
      <c r="O90" s="17">
        <f t="shared" si="19"/>
        <v>25</v>
      </c>
      <c r="P90" s="17">
        <f t="shared" si="30"/>
        <v>6107.7464788732395</v>
      </c>
      <c r="Q90" s="6"/>
      <c r="R90" s="18">
        <f t="shared" si="27"/>
        <v>244.30985915492957</v>
      </c>
      <c r="S90" s="20"/>
    </row>
    <row r="91" spans="1:19" s="19" customFormat="1" ht="20.25" x14ac:dyDescent="0.3">
      <c r="A91" s="6">
        <f t="shared" si="24"/>
        <v>84</v>
      </c>
      <c r="B91" s="13" t="s">
        <v>369</v>
      </c>
      <c r="C91" s="13" t="s">
        <v>325</v>
      </c>
      <c r="D91" s="14" t="s">
        <v>46</v>
      </c>
      <c r="E91" s="14" t="s">
        <v>385</v>
      </c>
      <c r="F91" s="15">
        <f t="shared" si="18"/>
        <v>200</v>
      </c>
      <c r="G91" s="15">
        <f t="shared" si="28"/>
        <v>696.2</v>
      </c>
      <c r="H91" s="6" t="s">
        <v>169</v>
      </c>
      <c r="I91" s="16">
        <v>200</v>
      </c>
      <c r="J91" s="17">
        <v>2.95</v>
      </c>
      <c r="K91" s="17">
        <f t="shared" si="31"/>
        <v>0.53100000000000003</v>
      </c>
      <c r="L91" s="17">
        <f t="shared" si="32"/>
        <v>3.4810000000000003</v>
      </c>
      <c r="M91" s="17">
        <f t="shared" si="29"/>
        <v>696.2</v>
      </c>
      <c r="N91" s="17"/>
      <c r="O91" s="17">
        <f t="shared" si="19"/>
        <v>200</v>
      </c>
      <c r="P91" s="17">
        <f t="shared" si="30"/>
        <v>696.2</v>
      </c>
      <c r="Q91" s="6" t="s">
        <v>368</v>
      </c>
      <c r="R91" s="18"/>
      <c r="S91" s="20"/>
    </row>
    <row r="92" spans="1:19" s="19" customFormat="1" ht="20.25" x14ac:dyDescent="0.3">
      <c r="A92" s="6">
        <f t="shared" si="24"/>
        <v>85</v>
      </c>
      <c r="B92" s="13">
        <v>43252</v>
      </c>
      <c r="C92" s="13">
        <v>43253</v>
      </c>
      <c r="D92" s="14" t="s">
        <v>46</v>
      </c>
      <c r="E92" s="14" t="s">
        <v>47</v>
      </c>
      <c r="F92" s="15">
        <f t="shared" si="18"/>
        <v>109</v>
      </c>
      <c r="G92" s="15">
        <f t="shared" si="28"/>
        <v>2572.4</v>
      </c>
      <c r="H92" s="6" t="s">
        <v>169</v>
      </c>
      <c r="I92" s="16">
        <v>400</v>
      </c>
      <c r="J92" s="17">
        <v>20</v>
      </c>
      <c r="K92" s="17">
        <f t="shared" si="31"/>
        <v>3.5999999999999996</v>
      </c>
      <c r="L92" s="17">
        <f t="shared" si="32"/>
        <v>23.6</v>
      </c>
      <c r="M92" s="17">
        <f t="shared" si="29"/>
        <v>9440</v>
      </c>
      <c r="N92" s="17">
        <f>171+100+10+10</f>
        <v>291</v>
      </c>
      <c r="O92" s="17">
        <f t="shared" si="19"/>
        <v>109</v>
      </c>
      <c r="P92" s="17">
        <f t="shared" si="30"/>
        <v>2572.4</v>
      </c>
      <c r="Q92" s="6"/>
      <c r="R92" s="18"/>
      <c r="S92" s="20"/>
    </row>
    <row r="93" spans="1:19" s="19" customFormat="1" ht="20.25" x14ac:dyDescent="0.3">
      <c r="A93" s="6">
        <f t="shared" si="24"/>
        <v>86</v>
      </c>
      <c r="B93" s="13">
        <v>43252</v>
      </c>
      <c r="C93" s="13">
        <v>43253</v>
      </c>
      <c r="D93" s="14" t="s">
        <v>44</v>
      </c>
      <c r="E93" s="14" t="s">
        <v>45</v>
      </c>
      <c r="F93" s="15">
        <f t="shared" si="18"/>
        <v>47</v>
      </c>
      <c r="G93" s="15">
        <f t="shared" si="28"/>
        <v>998.28</v>
      </c>
      <c r="H93" s="6" t="s">
        <v>169</v>
      </c>
      <c r="I93" s="16">
        <v>100</v>
      </c>
      <c r="J93" s="17">
        <v>18</v>
      </c>
      <c r="K93" s="17">
        <f t="shared" si="31"/>
        <v>3.2399999999999998</v>
      </c>
      <c r="L93" s="17">
        <f t="shared" si="32"/>
        <v>21.24</v>
      </c>
      <c r="M93" s="17">
        <f t="shared" si="29"/>
        <v>2124</v>
      </c>
      <c r="N93" s="17">
        <f>1+2+50</f>
        <v>53</v>
      </c>
      <c r="O93" s="17">
        <f t="shared" si="19"/>
        <v>47</v>
      </c>
      <c r="P93" s="17">
        <f t="shared" si="30"/>
        <v>998.28</v>
      </c>
      <c r="Q93" s="6"/>
      <c r="R93" s="18"/>
      <c r="S93" s="20"/>
    </row>
    <row r="94" spans="1:19" s="19" customFormat="1" ht="20.25" x14ac:dyDescent="0.3">
      <c r="A94" s="6">
        <f t="shared" si="24"/>
        <v>87</v>
      </c>
      <c r="B94" s="13" t="s">
        <v>369</v>
      </c>
      <c r="C94" s="13" t="s">
        <v>325</v>
      </c>
      <c r="D94" s="14" t="s">
        <v>44</v>
      </c>
      <c r="E94" s="14" t="s">
        <v>391</v>
      </c>
      <c r="F94" s="15">
        <f t="shared" si="18"/>
        <v>196</v>
      </c>
      <c r="G94" s="15">
        <f t="shared" si="28"/>
        <v>1387.68</v>
      </c>
      <c r="H94" s="6" t="s">
        <v>169</v>
      </c>
      <c r="I94" s="16">
        <v>200</v>
      </c>
      <c r="J94" s="17">
        <v>6</v>
      </c>
      <c r="K94" s="17">
        <f t="shared" si="31"/>
        <v>1.08</v>
      </c>
      <c r="L94" s="17">
        <f t="shared" si="32"/>
        <v>7.08</v>
      </c>
      <c r="M94" s="17">
        <f t="shared" si="29"/>
        <v>1416</v>
      </c>
      <c r="N94" s="17">
        <f>4+0</f>
        <v>4</v>
      </c>
      <c r="O94" s="17">
        <f t="shared" si="19"/>
        <v>196</v>
      </c>
      <c r="P94" s="17">
        <f t="shared" si="30"/>
        <v>1387.68</v>
      </c>
      <c r="Q94" s="6" t="s">
        <v>368</v>
      </c>
      <c r="R94" s="18"/>
      <c r="S94" s="20"/>
    </row>
    <row r="95" spans="1:19" s="19" customFormat="1" ht="20.25" x14ac:dyDescent="0.3">
      <c r="A95" s="6">
        <f t="shared" si="24"/>
        <v>88</v>
      </c>
      <c r="B95" s="13" t="s">
        <v>369</v>
      </c>
      <c r="C95" s="13" t="s">
        <v>325</v>
      </c>
      <c r="D95" s="14" t="s">
        <v>48</v>
      </c>
      <c r="E95" s="14" t="s">
        <v>393</v>
      </c>
      <c r="F95" s="15">
        <f t="shared" si="18"/>
        <v>196</v>
      </c>
      <c r="G95" s="15">
        <f t="shared" si="28"/>
        <v>1387.68</v>
      </c>
      <c r="H95" s="6" t="s">
        <v>169</v>
      </c>
      <c r="I95" s="16">
        <v>200</v>
      </c>
      <c r="J95" s="17">
        <v>6</v>
      </c>
      <c r="K95" s="17">
        <f t="shared" si="31"/>
        <v>1.08</v>
      </c>
      <c r="L95" s="17">
        <f t="shared" si="32"/>
        <v>7.08</v>
      </c>
      <c r="M95" s="17">
        <f t="shared" si="29"/>
        <v>1416</v>
      </c>
      <c r="N95" s="17">
        <v>4</v>
      </c>
      <c r="O95" s="17">
        <f t="shared" si="19"/>
        <v>196</v>
      </c>
      <c r="P95" s="17">
        <f t="shared" si="30"/>
        <v>1387.68</v>
      </c>
      <c r="Q95" s="6" t="s">
        <v>368</v>
      </c>
      <c r="R95" s="18"/>
      <c r="S95" s="20"/>
    </row>
    <row r="96" spans="1:19" s="19" customFormat="1" ht="20.25" x14ac:dyDescent="0.3">
      <c r="A96" s="6">
        <f t="shared" si="24"/>
        <v>89</v>
      </c>
      <c r="B96" s="13" t="s">
        <v>369</v>
      </c>
      <c r="C96" s="13" t="s">
        <v>325</v>
      </c>
      <c r="D96" s="14" t="s">
        <v>46</v>
      </c>
      <c r="E96" s="14" t="s">
        <v>392</v>
      </c>
      <c r="F96" s="15">
        <f t="shared" si="18"/>
        <v>200</v>
      </c>
      <c r="G96" s="15">
        <f t="shared" si="28"/>
        <v>1416</v>
      </c>
      <c r="H96" s="6" t="s">
        <v>169</v>
      </c>
      <c r="I96" s="16">
        <v>200</v>
      </c>
      <c r="J96" s="17">
        <v>6</v>
      </c>
      <c r="K96" s="17">
        <f t="shared" si="31"/>
        <v>1.08</v>
      </c>
      <c r="L96" s="17">
        <f t="shared" si="32"/>
        <v>7.08</v>
      </c>
      <c r="M96" s="17">
        <f t="shared" si="29"/>
        <v>1416</v>
      </c>
      <c r="N96" s="17"/>
      <c r="O96" s="17">
        <f t="shared" si="19"/>
        <v>200</v>
      </c>
      <c r="P96" s="17">
        <f t="shared" si="30"/>
        <v>1416</v>
      </c>
      <c r="Q96" s="6" t="s">
        <v>368</v>
      </c>
      <c r="R96" s="18"/>
      <c r="S96" s="20"/>
    </row>
    <row r="97" spans="1:19" s="19" customFormat="1" ht="20.25" x14ac:dyDescent="0.3">
      <c r="A97" s="6">
        <f t="shared" si="24"/>
        <v>90</v>
      </c>
      <c r="B97" s="13" t="s">
        <v>369</v>
      </c>
      <c r="C97" s="13" t="s">
        <v>325</v>
      </c>
      <c r="D97" s="14" t="s">
        <v>42</v>
      </c>
      <c r="E97" s="14" t="s">
        <v>390</v>
      </c>
      <c r="F97" s="15">
        <f t="shared" si="18"/>
        <v>153</v>
      </c>
      <c r="G97" s="15">
        <f t="shared" si="28"/>
        <v>1083.24</v>
      </c>
      <c r="H97" s="6" t="s">
        <v>169</v>
      </c>
      <c r="I97" s="16">
        <v>200</v>
      </c>
      <c r="J97" s="17">
        <v>6</v>
      </c>
      <c r="K97" s="17">
        <f t="shared" si="31"/>
        <v>1.08</v>
      </c>
      <c r="L97" s="17">
        <f t="shared" si="32"/>
        <v>7.08</v>
      </c>
      <c r="M97" s="17">
        <f t="shared" si="29"/>
        <v>1416</v>
      </c>
      <c r="N97" s="17">
        <f>25+12+5+5</f>
        <v>47</v>
      </c>
      <c r="O97" s="17">
        <f t="shared" si="19"/>
        <v>153</v>
      </c>
      <c r="P97" s="17">
        <f t="shared" si="30"/>
        <v>1083.24</v>
      </c>
      <c r="Q97" s="6" t="s">
        <v>368</v>
      </c>
      <c r="R97" s="18"/>
      <c r="S97" s="20"/>
    </row>
    <row r="98" spans="1:19" s="19" customFormat="1" ht="20.25" x14ac:dyDescent="0.3">
      <c r="A98" s="6">
        <f t="shared" si="24"/>
        <v>91</v>
      </c>
      <c r="B98" s="13" t="s">
        <v>324</v>
      </c>
      <c r="C98" s="13" t="s">
        <v>325</v>
      </c>
      <c r="D98" s="14" t="s">
        <v>335</v>
      </c>
      <c r="E98" s="14" t="s">
        <v>338</v>
      </c>
      <c r="F98" s="15">
        <f t="shared" si="18"/>
        <v>17</v>
      </c>
      <c r="G98" s="15">
        <f t="shared" si="28"/>
        <v>9929.7000000000007</v>
      </c>
      <c r="H98" s="6" t="s">
        <v>341</v>
      </c>
      <c r="I98" s="16">
        <v>17</v>
      </c>
      <c r="J98" s="17">
        <v>495</v>
      </c>
      <c r="K98" s="17">
        <f t="shared" si="31"/>
        <v>89.1</v>
      </c>
      <c r="L98" s="17">
        <f t="shared" si="32"/>
        <v>584.1</v>
      </c>
      <c r="M98" s="17">
        <f t="shared" si="29"/>
        <v>9929.7000000000007</v>
      </c>
      <c r="N98" s="17">
        <v>0</v>
      </c>
      <c r="O98" s="17">
        <f t="shared" si="19"/>
        <v>17</v>
      </c>
      <c r="P98" s="17">
        <f t="shared" si="30"/>
        <v>9929.7000000000007</v>
      </c>
      <c r="Q98" s="6" t="s">
        <v>330</v>
      </c>
      <c r="R98" s="18"/>
      <c r="S98" s="20"/>
    </row>
    <row r="99" spans="1:19" s="19" customFormat="1" ht="20.25" x14ac:dyDescent="0.3">
      <c r="A99" s="6">
        <f t="shared" si="24"/>
        <v>92</v>
      </c>
      <c r="B99" s="13" t="s">
        <v>324</v>
      </c>
      <c r="C99" s="13" t="s">
        <v>325</v>
      </c>
      <c r="D99" s="14" t="s">
        <v>336</v>
      </c>
      <c r="E99" s="14" t="s">
        <v>339</v>
      </c>
      <c r="F99" s="15">
        <f t="shared" si="18"/>
        <v>8</v>
      </c>
      <c r="G99" s="15">
        <f t="shared" si="28"/>
        <v>1416</v>
      </c>
      <c r="H99" s="6" t="s">
        <v>341</v>
      </c>
      <c r="I99" s="16">
        <v>8</v>
      </c>
      <c r="J99" s="17">
        <v>150</v>
      </c>
      <c r="K99" s="17">
        <f t="shared" si="31"/>
        <v>27</v>
      </c>
      <c r="L99" s="17">
        <f t="shared" si="32"/>
        <v>177</v>
      </c>
      <c r="M99" s="17">
        <f t="shared" si="29"/>
        <v>1416</v>
      </c>
      <c r="N99" s="17">
        <v>0</v>
      </c>
      <c r="O99" s="17">
        <f t="shared" si="19"/>
        <v>8</v>
      </c>
      <c r="P99" s="17">
        <f t="shared" si="30"/>
        <v>1416</v>
      </c>
      <c r="Q99" s="6" t="s">
        <v>330</v>
      </c>
      <c r="R99" s="18"/>
      <c r="S99" s="20"/>
    </row>
    <row r="100" spans="1:19" s="19" customFormat="1" ht="20.25" x14ac:dyDescent="0.3">
      <c r="A100" s="6">
        <f t="shared" si="24"/>
        <v>93</v>
      </c>
      <c r="B100" s="13" t="s">
        <v>324</v>
      </c>
      <c r="C100" s="13" t="s">
        <v>325</v>
      </c>
      <c r="D100" s="14" t="s">
        <v>337</v>
      </c>
      <c r="E100" s="14" t="s">
        <v>340</v>
      </c>
      <c r="F100" s="15">
        <f t="shared" si="18"/>
        <v>2</v>
      </c>
      <c r="G100" s="15">
        <f t="shared" si="28"/>
        <v>1404.2</v>
      </c>
      <c r="H100" s="6" t="s">
        <v>341</v>
      </c>
      <c r="I100" s="16">
        <v>2</v>
      </c>
      <c r="J100" s="17">
        <v>595</v>
      </c>
      <c r="K100" s="17">
        <f t="shared" si="31"/>
        <v>107.1</v>
      </c>
      <c r="L100" s="17">
        <f t="shared" si="32"/>
        <v>702.1</v>
      </c>
      <c r="M100" s="17">
        <f t="shared" si="29"/>
        <v>1404.2</v>
      </c>
      <c r="N100" s="17">
        <v>0</v>
      </c>
      <c r="O100" s="17">
        <f t="shared" si="19"/>
        <v>2</v>
      </c>
      <c r="P100" s="17">
        <f t="shared" si="30"/>
        <v>1404.2</v>
      </c>
      <c r="Q100" s="6" t="s">
        <v>330</v>
      </c>
      <c r="R100" s="18"/>
      <c r="S100" s="20"/>
    </row>
    <row r="101" spans="1:19" s="19" customFormat="1" ht="20.25" x14ac:dyDescent="0.3">
      <c r="A101" s="6">
        <f t="shared" si="24"/>
        <v>94</v>
      </c>
      <c r="B101" s="13" t="s">
        <v>369</v>
      </c>
      <c r="C101" s="13" t="s">
        <v>325</v>
      </c>
      <c r="D101" s="14" t="s">
        <v>42</v>
      </c>
      <c r="E101" s="14" t="s">
        <v>384</v>
      </c>
      <c r="F101" s="15">
        <f t="shared" si="18"/>
        <v>800</v>
      </c>
      <c r="G101" s="15">
        <f t="shared" si="28"/>
        <v>1982.4</v>
      </c>
      <c r="H101" s="6" t="s">
        <v>169</v>
      </c>
      <c r="I101" s="16">
        <v>800</v>
      </c>
      <c r="J101" s="17">
        <v>2.1</v>
      </c>
      <c r="K101" s="17">
        <f t="shared" si="31"/>
        <v>0.378</v>
      </c>
      <c r="L101" s="17">
        <f t="shared" si="32"/>
        <v>2.4780000000000002</v>
      </c>
      <c r="M101" s="17">
        <f t="shared" si="29"/>
        <v>1982.4</v>
      </c>
      <c r="N101" s="17"/>
      <c r="O101" s="17">
        <f t="shared" si="19"/>
        <v>800</v>
      </c>
      <c r="P101" s="17">
        <f t="shared" si="30"/>
        <v>1982.4</v>
      </c>
      <c r="Q101" s="6" t="s">
        <v>368</v>
      </c>
      <c r="R101" s="18">
        <f>P101/O101</f>
        <v>2.4780000000000002</v>
      </c>
    </row>
    <row r="102" spans="1:19" s="19" customFormat="1" ht="20.25" x14ac:dyDescent="0.3">
      <c r="A102" s="6">
        <f t="shared" si="24"/>
        <v>95</v>
      </c>
      <c r="B102" s="13">
        <v>44014</v>
      </c>
      <c r="C102" s="13">
        <v>44033</v>
      </c>
      <c r="D102" s="14" t="s">
        <v>315</v>
      </c>
      <c r="E102" s="14" t="s">
        <v>316</v>
      </c>
      <c r="F102" s="15">
        <f t="shared" si="18"/>
        <v>5</v>
      </c>
      <c r="G102" s="15">
        <f t="shared" si="28"/>
        <v>3245</v>
      </c>
      <c r="H102" s="6" t="s">
        <v>169</v>
      </c>
      <c r="I102" s="16">
        <v>5</v>
      </c>
      <c r="J102" s="17">
        <v>550</v>
      </c>
      <c r="K102" s="17">
        <f t="shared" si="31"/>
        <v>99</v>
      </c>
      <c r="L102" s="17">
        <f t="shared" si="32"/>
        <v>649</v>
      </c>
      <c r="M102" s="17">
        <f t="shared" si="29"/>
        <v>3245</v>
      </c>
      <c r="N102" s="17">
        <v>0</v>
      </c>
      <c r="O102" s="17">
        <f t="shared" si="19"/>
        <v>5</v>
      </c>
      <c r="P102" s="17">
        <f t="shared" si="30"/>
        <v>3245</v>
      </c>
      <c r="Q102" s="6" t="s">
        <v>317</v>
      </c>
      <c r="R102" s="18">
        <f>P102/O102</f>
        <v>649</v>
      </c>
    </row>
    <row r="103" spans="1:19" s="19" customFormat="1" ht="20.25" x14ac:dyDescent="0.3">
      <c r="A103" s="6">
        <f t="shared" si="24"/>
        <v>96</v>
      </c>
      <c r="B103" s="13">
        <v>44162</v>
      </c>
      <c r="C103" s="13">
        <v>44187</v>
      </c>
      <c r="D103" s="14" t="s">
        <v>187</v>
      </c>
      <c r="E103" s="14" t="s">
        <v>188</v>
      </c>
      <c r="F103" s="15">
        <f t="shared" si="18"/>
        <v>8</v>
      </c>
      <c r="G103" s="15">
        <f t="shared" si="28"/>
        <v>236</v>
      </c>
      <c r="H103" s="6" t="s">
        <v>181</v>
      </c>
      <c r="I103" s="16">
        <v>20</v>
      </c>
      <c r="J103" s="17">
        <v>25</v>
      </c>
      <c r="K103" s="17">
        <f t="shared" si="31"/>
        <v>4.5</v>
      </c>
      <c r="L103" s="17">
        <f t="shared" si="32"/>
        <v>29.5</v>
      </c>
      <c r="M103" s="17">
        <f t="shared" si="29"/>
        <v>590</v>
      </c>
      <c r="N103" s="17">
        <f>3+1+2+2+2+1+1</f>
        <v>12</v>
      </c>
      <c r="O103" s="17">
        <f t="shared" si="19"/>
        <v>8</v>
      </c>
      <c r="P103" s="17">
        <f t="shared" si="30"/>
        <v>236</v>
      </c>
      <c r="Q103" s="6" t="s">
        <v>368</v>
      </c>
      <c r="R103" s="18"/>
    </row>
    <row r="104" spans="1:19" s="19" customFormat="1" ht="20.25" x14ac:dyDescent="0.3">
      <c r="A104" s="6">
        <f t="shared" si="24"/>
        <v>97</v>
      </c>
      <c r="B104" s="13">
        <v>44018</v>
      </c>
      <c r="C104" s="13">
        <v>44033</v>
      </c>
      <c r="D104" s="14" t="s">
        <v>300</v>
      </c>
      <c r="E104" s="14" t="s">
        <v>301</v>
      </c>
      <c r="F104" s="15">
        <f t="shared" si="18"/>
        <v>92</v>
      </c>
      <c r="G104" s="15">
        <f t="shared" si="28"/>
        <v>50600</v>
      </c>
      <c r="H104" s="6" t="s">
        <v>181</v>
      </c>
      <c r="I104" s="16">
        <v>100</v>
      </c>
      <c r="J104" s="17">
        <v>550</v>
      </c>
      <c r="K104" s="17">
        <v>0</v>
      </c>
      <c r="L104" s="17">
        <f t="shared" si="32"/>
        <v>550</v>
      </c>
      <c r="M104" s="17">
        <f t="shared" si="29"/>
        <v>55000</v>
      </c>
      <c r="N104" s="17">
        <f>8</f>
        <v>8</v>
      </c>
      <c r="O104" s="17">
        <f t="shared" si="19"/>
        <v>92</v>
      </c>
      <c r="P104" s="17">
        <f t="shared" si="30"/>
        <v>50600</v>
      </c>
      <c r="Q104" s="6" t="s">
        <v>299</v>
      </c>
      <c r="R104" s="18">
        <f t="shared" ref="R104:R115" si="33">P104/O104</f>
        <v>550</v>
      </c>
    </row>
    <row r="105" spans="1:19" s="19" customFormat="1" ht="20.25" x14ac:dyDescent="0.3">
      <c r="A105" s="6">
        <f t="shared" si="24"/>
        <v>98</v>
      </c>
      <c r="B105" s="13">
        <v>43252</v>
      </c>
      <c r="C105" s="13">
        <v>43254</v>
      </c>
      <c r="D105" s="14" t="s">
        <v>62</v>
      </c>
      <c r="E105" s="14" t="s">
        <v>63</v>
      </c>
      <c r="F105" s="15">
        <f t="shared" si="18"/>
        <v>3</v>
      </c>
      <c r="G105" s="15">
        <f t="shared" si="28"/>
        <v>12036</v>
      </c>
      <c r="H105" s="6" t="s">
        <v>169</v>
      </c>
      <c r="I105" s="16">
        <v>3</v>
      </c>
      <c r="J105" s="17">
        <v>3400</v>
      </c>
      <c r="K105" s="17">
        <f t="shared" ref="K105:K119" si="34">+J105*18%</f>
        <v>612</v>
      </c>
      <c r="L105" s="17">
        <f t="shared" si="32"/>
        <v>4012</v>
      </c>
      <c r="M105" s="17">
        <f t="shared" si="29"/>
        <v>12036</v>
      </c>
      <c r="N105" s="17"/>
      <c r="O105" s="17">
        <f t="shared" si="19"/>
        <v>3</v>
      </c>
      <c r="P105" s="17">
        <f t="shared" si="30"/>
        <v>12036</v>
      </c>
      <c r="Q105" s="6" t="s">
        <v>174</v>
      </c>
      <c r="R105" s="18">
        <f t="shared" si="33"/>
        <v>4012</v>
      </c>
    </row>
    <row r="106" spans="1:19" s="19" customFormat="1" ht="20.25" x14ac:dyDescent="0.3">
      <c r="A106" s="6">
        <f t="shared" si="24"/>
        <v>99</v>
      </c>
      <c r="B106" s="13">
        <v>43609</v>
      </c>
      <c r="C106" s="13">
        <v>43612</v>
      </c>
      <c r="D106" s="14" t="s">
        <v>54</v>
      </c>
      <c r="E106" s="14" t="s">
        <v>55</v>
      </c>
      <c r="F106" s="15">
        <f t="shared" si="18"/>
        <v>7</v>
      </c>
      <c r="G106" s="15">
        <f t="shared" si="28"/>
        <v>9912</v>
      </c>
      <c r="H106" s="6" t="s">
        <v>181</v>
      </c>
      <c r="I106" s="16">
        <v>8</v>
      </c>
      <c r="J106" s="17">
        <v>1200</v>
      </c>
      <c r="K106" s="17">
        <f t="shared" si="34"/>
        <v>216</v>
      </c>
      <c r="L106" s="17">
        <f t="shared" si="32"/>
        <v>1416</v>
      </c>
      <c r="M106" s="17">
        <f t="shared" si="29"/>
        <v>11328</v>
      </c>
      <c r="N106" s="17">
        <v>1</v>
      </c>
      <c r="O106" s="17">
        <f t="shared" si="19"/>
        <v>7</v>
      </c>
      <c r="P106" s="17">
        <f t="shared" si="30"/>
        <v>9912</v>
      </c>
      <c r="Q106" s="6" t="s">
        <v>210</v>
      </c>
      <c r="R106" s="18">
        <f t="shared" si="33"/>
        <v>1416</v>
      </c>
    </row>
    <row r="107" spans="1:19" s="19" customFormat="1" ht="20.25" x14ac:dyDescent="0.3">
      <c r="A107" s="6">
        <f t="shared" si="24"/>
        <v>100</v>
      </c>
      <c r="B107" s="13">
        <v>43252</v>
      </c>
      <c r="C107" s="13">
        <v>43254</v>
      </c>
      <c r="D107" s="14" t="s">
        <v>56</v>
      </c>
      <c r="E107" s="14" t="s">
        <v>57</v>
      </c>
      <c r="F107" s="15">
        <f t="shared" si="18"/>
        <v>15</v>
      </c>
      <c r="G107" s="15">
        <f t="shared" si="28"/>
        <v>1911.6000000000004</v>
      </c>
      <c r="H107" s="6" t="s">
        <v>181</v>
      </c>
      <c r="I107" s="16">
        <v>31</v>
      </c>
      <c r="J107" s="17">
        <v>108.00000000000003</v>
      </c>
      <c r="K107" s="17">
        <f t="shared" si="34"/>
        <v>19.440000000000005</v>
      </c>
      <c r="L107" s="17">
        <f t="shared" si="32"/>
        <v>127.44000000000003</v>
      </c>
      <c r="M107" s="17">
        <f t="shared" si="29"/>
        <v>3950.6400000000008</v>
      </c>
      <c r="N107" s="17">
        <f>13+1+1+1</f>
        <v>16</v>
      </c>
      <c r="O107" s="17">
        <f t="shared" si="19"/>
        <v>15</v>
      </c>
      <c r="P107" s="17">
        <f t="shared" si="30"/>
        <v>1911.6000000000004</v>
      </c>
      <c r="Q107" s="6"/>
      <c r="R107" s="18">
        <f t="shared" si="33"/>
        <v>127.44000000000003</v>
      </c>
    </row>
    <row r="108" spans="1:19" s="19" customFormat="1" ht="20.25" x14ac:dyDescent="0.3">
      <c r="A108" s="6">
        <f t="shared" si="24"/>
        <v>101</v>
      </c>
      <c r="B108" s="13">
        <v>43252</v>
      </c>
      <c r="C108" s="13">
        <v>43254</v>
      </c>
      <c r="D108" s="14" t="s">
        <v>189</v>
      </c>
      <c r="E108" s="14" t="s">
        <v>190</v>
      </c>
      <c r="F108" s="15">
        <f t="shared" si="18"/>
        <v>1</v>
      </c>
      <c r="G108" s="15">
        <f t="shared" si="28"/>
        <v>767</v>
      </c>
      <c r="H108" s="6" t="s">
        <v>169</v>
      </c>
      <c r="I108" s="16">
        <v>1</v>
      </c>
      <c r="J108" s="17">
        <v>650</v>
      </c>
      <c r="K108" s="17">
        <f t="shared" si="34"/>
        <v>117</v>
      </c>
      <c r="L108" s="17">
        <f t="shared" si="32"/>
        <v>767</v>
      </c>
      <c r="M108" s="17">
        <f t="shared" si="29"/>
        <v>767</v>
      </c>
      <c r="N108" s="17"/>
      <c r="O108" s="31">
        <f t="shared" si="19"/>
        <v>1</v>
      </c>
      <c r="P108" s="17">
        <f t="shared" si="30"/>
        <v>767</v>
      </c>
      <c r="Q108" s="6"/>
      <c r="R108" s="18">
        <f t="shared" si="33"/>
        <v>767</v>
      </c>
    </row>
    <row r="109" spans="1:19" s="19" customFormat="1" ht="20.25" x14ac:dyDescent="0.3">
      <c r="A109" s="6">
        <f t="shared" si="24"/>
        <v>102</v>
      </c>
      <c r="B109" s="13">
        <v>43609</v>
      </c>
      <c r="C109" s="13">
        <v>43612</v>
      </c>
      <c r="D109" s="14" t="s">
        <v>239</v>
      </c>
      <c r="E109" s="14" t="s">
        <v>190</v>
      </c>
      <c r="F109" s="15">
        <f t="shared" si="18"/>
        <v>4</v>
      </c>
      <c r="G109" s="15">
        <f t="shared" si="28"/>
        <v>3068</v>
      </c>
      <c r="H109" s="6" t="s">
        <v>169</v>
      </c>
      <c r="I109" s="16">
        <v>5</v>
      </c>
      <c r="J109" s="17">
        <v>650</v>
      </c>
      <c r="K109" s="17">
        <f t="shared" si="34"/>
        <v>117</v>
      </c>
      <c r="L109" s="17">
        <f t="shared" si="32"/>
        <v>767</v>
      </c>
      <c r="M109" s="17">
        <f t="shared" si="29"/>
        <v>3835</v>
      </c>
      <c r="N109" s="17">
        <v>1</v>
      </c>
      <c r="O109" s="17">
        <f t="shared" si="19"/>
        <v>4</v>
      </c>
      <c r="P109" s="17">
        <f t="shared" si="30"/>
        <v>3068</v>
      </c>
      <c r="Q109" s="6" t="s">
        <v>210</v>
      </c>
      <c r="R109" s="18">
        <f t="shared" si="33"/>
        <v>767</v>
      </c>
    </row>
    <row r="110" spans="1:19" s="19" customFormat="1" ht="20.25" x14ac:dyDescent="0.3">
      <c r="A110" s="6">
        <f t="shared" si="24"/>
        <v>103</v>
      </c>
      <c r="B110" s="13">
        <v>43318</v>
      </c>
      <c r="C110" s="13">
        <v>43319</v>
      </c>
      <c r="D110" s="14" t="s">
        <v>60</v>
      </c>
      <c r="E110" s="14" t="s">
        <v>61</v>
      </c>
      <c r="F110" s="15">
        <f t="shared" si="18"/>
        <v>2</v>
      </c>
      <c r="G110" s="15">
        <f t="shared" si="28"/>
        <v>3345.3</v>
      </c>
      <c r="H110" s="6" t="s">
        <v>169</v>
      </c>
      <c r="I110" s="16">
        <v>2</v>
      </c>
      <c r="J110" s="17">
        <v>1417.5</v>
      </c>
      <c r="K110" s="17">
        <f t="shared" si="34"/>
        <v>255.14999999999998</v>
      </c>
      <c r="L110" s="17">
        <f t="shared" si="32"/>
        <v>1672.65</v>
      </c>
      <c r="M110" s="17">
        <f t="shared" si="29"/>
        <v>3345.3</v>
      </c>
      <c r="N110" s="17">
        <v>0</v>
      </c>
      <c r="O110" s="17">
        <f t="shared" si="19"/>
        <v>2</v>
      </c>
      <c r="P110" s="17">
        <f t="shared" si="30"/>
        <v>3345.3</v>
      </c>
      <c r="Q110" s="6" t="s">
        <v>174</v>
      </c>
      <c r="R110" s="18">
        <f t="shared" si="33"/>
        <v>1672.65</v>
      </c>
    </row>
    <row r="111" spans="1:19" s="19" customFormat="1" ht="20.25" x14ac:dyDescent="0.3">
      <c r="A111" s="6">
        <f t="shared" si="24"/>
        <v>104</v>
      </c>
      <c r="B111" s="13">
        <v>43318</v>
      </c>
      <c r="C111" s="13">
        <v>43319</v>
      </c>
      <c r="D111" s="14" t="s">
        <v>58</v>
      </c>
      <c r="E111" s="14" t="s">
        <v>59</v>
      </c>
      <c r="F111" s="15">
        <f t="shared" si="18"/>
        <v>1</v>
      </c>
      <c r="G111" s="15">
        <f t="shared" si="28"/>
        <v>1088.55</v>
      </c>
      <c r="H111" s="6" t="s">
        <v>169</v>
      </c>
      <c r="I111" s="16">
        <v>1</v>
      </c>
      <c r="J111" s="17">
        <v>922.5</v>
      </c>
      <c r="K111" s="17">
        <f t="shared" si="34"/>
        <v>166.04999999999998</v>
      </c>
      <c r="L111" s="17">
        <f t="shared" si="32"/>
        <v>1088.55</v>
      </c>
      <c r="M111" s="17">
        <f t="shared" si="29"/>
        <v>1088.55</v>
      </c>
      <c r="N111" s="17">
        <v>0</v>
      </c>
      <c r="O111" s="17">
        <f t="shared" si="19"/>
        <v>1</v>
      </c>
      <c r="P111" s="17">
        <f t="shared" si="30"/>
        <v>1088.55</v>
      </c>
      <c r="Q111" s="6" t="s">
        <v>174</v>
      </c>
      <c r="R111" s="18">
        <f t="shared" si="33"/>
        <v>1088.55</v>
      </c>
    </row>
    <row r="112" spans="1:19" s="19" customFormat="1" ht="20.25" x14ac:dyDescent="0.3">
      <c r="A112" s="6">
        <f t="shared" si="24"/>
        <v>105</v>
      </c>
      <c r="B112" s="13">
        <v>43318</v>
      </c>
      <c r="C112" s="13">
        <v>43319</v>
      </c>
      <c r="D112" s="14" t="s">
        <v>276</v>
      </c>
      <c r="E112" s="14" t="s">
        <v>64</v>
      </c>
      <c r="F112" s="15">
        <f t="shared" si="18"/>
        <v>1</v>
      </c>
      <c r="G112" s="15">
        <f t="shared" si="28"/>
        <v>1239</v>
      </c>
      <c r="H112" s="6" t="s">
        <v>169</v>
      </c>
      <c r="I112" s="16">
        <v>1</v>
      </c>
      <c r="J112" s="17">
        <v>1050</v>
      </c>
      <c r="K112" s="17">
        <f t="shared" si="34"/>
        <v>189</v>
      </c>
      <c r="L112" s="17">
        <f t="shared" si="32"/>
        <v>1239</v>
      </c>
      <c r="M112" s="17">
        <f t="shared" si="29"/>
        <v>1239</v>
      </c>
      <c r="N112" s="17">
        <v>0</v>
      </c>
      <c r="O112" s="17">
        <f t="shared" si="19"/>
        <v>1</v>
      </c>
      <c r="P112" s="17">
        <f t="shared" si="30"/>
        <v>1239</v>
      </c>
      <c r="Q112" s="6" t="s">
        <v>174</v>
      </c>
      <c r="R112" s="18">
        <f t="shared" si="33"/>
        <v>1239</v>
      </c>
    </row>
    <row r="113" spans="1:18" s="19" customFormat="1" ht="20.25" x14ac:dyDescent="0.3">
      <c r="A113" s="6">
        <f t="shared" si="24"/>
        <v>106</v>
      </c>
      <c r="B113" s="13">
        <v>43609</v>
      </c>
      <c r="C113" s="13">
        <v>43612</v>
      </c>
      <c r="D113" s="14" t="s">
        <v>215</v>
      </c>
      <c r="E113" s="14" t="s">
        <v>216</v>
      </c>
      <c r="F113" s="15">
        <f t="shared" si="18"/>
        <v>24</v>
      </c>
      <c r="G113" s="15">
        <f t="shared" si="28"/>
        <v>226.56</v>
      </c>
      <c r="H113" s="6" t="s">
        <v>169</v>
      </c>
      <c r="I113" s="16">
        <v>75</v>
      </c>
      <c r="J113" s="17">
        <v>8</v>
      </c>
      <c r="K113" s="17">
        <f t="shared" si="34"/>
        <v>1.44</v>
      </c>
      <c r="L113" s="17">
        <f t="shared" si="32"/>
        <v>9.44</v>
      </c>
      <c r="M113" s="17">
        <f t="shared" si="29"/>
        <v>708</v>
      </c>
      <c r="N113" s="17">
        <f>50+1</f>
        <v>51</v>
      </c>
      <c r="O113" s="17">
        <f t="shared" si="19"/>
        <v>24</v>
      </c>
      <c r="P113" s="17">
        <f t="shared" si="30"/>
        <v>226.56</v>
      </c>
      <c r="Q113" s="6" t="s">
        <v>210</v>
      </c>
      <c r="R113" s="18">
        <f t="shared" si="33"/>
        <v>9.44</v>
      </c>
    </row>
    <row r="114" spans="1:18" s="19" customFormat="1" ht="20.25" x14ac:dyDescent="0.3">
      <c r="A114" s="6">
        <f t="shared" si="24"/>
        <v>107</v>
      </c>
      <c r="B114" s="13">
        <v>43252</v>
      </c>
      <c r="C114" s="13">
        <v>43253</v>
      </c>
      <c r="D114" s="14" t="s">
        <v>65</v>
      </c>
      <c r="E114" s="14" t="s">
        <v>66</v>
      </c>
      <c r="F114" s="15">
        <f t="shared" si="18"/>
        <v>1</v>
      </c>
      <c r="G114" s="15">
        <f t="shared" si="28"/>
        <v>3540</v>
      </c>
      <c r="H114" s="6" t="s">
        <v>169</v>
      </c>
      <c r="I114" s="16">
        <v>1</v>
      </c>
      <c r="J114" s="17">
        <v>3000</v>
      </c>
      <c r="K114" s="17">
        <f t="shared" si="34"/>
        <v>540</v>
      </c>
      <c r="L114" s="17">
        <f t="shared" si="32"/>
        <v>3540</v>
      </c>
      <c r="M114" s="17">
        <f t="shared" si="29"/>
        <v>3540</v>
      </c>
      <c r="N114" s="17">
        <v>0</v>
      </c>
      <c r="O114" s="17">
        <f t="shared" si="19"/>
        <v>1</v>
      </c>
      <c r="P114" s="17">
        <f t="shared" si="30"/>
        <v>3540</v>
      </c>
      <c r="Q114" s="6"/>
      <c r="R114" s="18">
        <f t="shared" si="33"/>
        <v>3540</v>
      </c>
    </row>
    <row r="115" spans="1:18" s="19" customFormat="1" ht="20.25" x14ac:dyDescent="0.3">
      <c r="A115" s="6">
        <f t="shared" si="24"/>
        <v>108</v>
      </c>
      <c r="B115" s="13">
        <v>44019</v>
      </c>
      <c r="C115" s="13">
        <v>44033</v>
      </c>
      <c r="D115" s="14" t="s">
        <v>311</v>
      </c>
      <c r="E115" s="14" t="s">
        <v>312</v>
      </c>
      <c r="F115" s="15">
        <f t="shared" si="18"/>
        <v>4</v>
      </c>
      <c r="G115" s="15">
        <f t="shared" si="28"/>
        <v>778.8</v>
      </c>
      <c r="H115" s="6" t="s">
        <v>170</v>
      </c>
      <c r="I115" s="16">
        <v>5</v>
      </c>
      <c r="J115" s="17">
        <v>165</v>
      </c>
      <c r="K115" s="17">
        <f t="shared" si="34"/>
        <v>29.7</v>
      </c>
      <c r="L115" s="17">
        <f t="shared" si="32"/>
        <v>194.7</v>
      </c>
      <c r="M115" s="17">
        <f t="shared" si="29"/>
        <v>973.5</v>
      </c>
      <c r="N115" s="17">
        <v>1</v>
      </c>
      <c r="O115" s="17">
        <f t="shared" si="19"/>
        <v>4</v>
      </c>
      <c r="P115" s="17">
        <f t="shared" si="30"/>
        <v>778.8</v>
      </c>
      <c r="Q115" s="6" t="s">
        <v>313</v>
      </c>
      <c r="R115" s="18">
        <f t="shared" si="33"/>
        <v>194.7</v>
      </c>
    </row>
    <row r="116" spans="1:18" s="19" customFormat="1" ht="20.25" x14ac:dyDescent="0.3">
      <c r="A116" s="6">
        <f t="shared" si="24"/>
        <v>109</v>
      </c>
      <c r="B116" s="13" t="s">
        <v>324</v>
      </c>
      <c r="C116" s="13" t="s">
        <v>325</v>
      </c>
      <c r="D116" s="14" t="s">
        <v>342</v>
      </c>
      <c r="E116" s="14" t="s">
        <v>343</v>
      </c>
      <c r="F116" s="15">
        <f t="shared" si="18"/>
        <v>7</v>
      </c>
      <c r="G116" s="15">
        <f t="shared" si="28"/>
        <v>1610.7</v>
      </c>
      <c r="H116" s="6" t="s">
        <v>169</v>
      </c>
      <c r="I116" s="16">
        <v>7</v>
      </c>
      <c r="J116" s="17">
        <v>195</v>
      </c>
      <c r="K116" s="17">
        <f t="shared" si="34"/>
        <v>35.1</v>
      </c>
      <c r="L116" s="17">
        <f t="shared" si="32"/>
        <v>230.1</v>
      </c>
      <c r="M116" s="17">
        <f t="shared" si="29"/>
        <v>1610.7</v>
      </c>
      <c r="N116" s="17"/>
      <c r="O116" s="17">
        <f t="shared" si="19"/>
        <v>7</v>
      </c>
      <c r="P116" s="17">
        <f t="shared" si="30"/>
        <v>1610.7</v>
      </c>
      <c r="Q116" s="6" t="s">
        <v>330</v>
      </c>
      <c r="R116" s="18"/>
    </row>
    <row r="117" spans="1:18" s="19" customFormat="1" ht="20.25" x14ac:dyDescent="0.3">
      <c r="A117" s="6">
        <f t="shared" si="24"/>
        <v>110</v>
      </c>
      <c r="B117" s="13">
        <v>44020</v>
      </c>
      <c r="C117" s="13">
        <v>44033</v>
      </c>
      <c r="D117" s="14" t="s">
        <v>309</v>
      </c>
      <c r="E117" s="14" t="s">
        <v>310</v>
      </c>
      <c r="F117" s="15">
        <f t="shared" si="18"/>
        <v>2</v>
      </c>
      <c r="G117" s="15">
        <f t="shared" si="28"/>
        <v>7906</v>
      </c>
      <c r="H117" s="6" t="s">
        <v>169</v>
      </c>
      <c r="I117" s="16">
        <v>3</v>
      </c>
      <c r="J117" s="17">
        <v>3350</v>
      </c>
      <c r="K117" s="17">
        <f t="shared" si="34"/>
        <v>603</v>
      </c>
      <c r="L117" s="17">
        <f t="shared" si="32"/>
        <v>3953</v>
      </c>
      <c r="M117" s="17">
        <f t="shared" si="29"/>
        <v>11859</v>
      </c>
      <c r="N117" s="17">
        <v>1</v>
      </c>
      <c r="O117" s="17">
        <f t="shared" si="19"/>
        <v>2</v>
      </c>
      <c r="P117" s="17">
        <f t="shared" si="30"/>
        <v>7906</v>
      </c>
      <c r="Q117" s="6" t="s">
        <v>305</v>
      </c>
      <c r="R117" s="18">
        <f t="shared" ref="R117:R122" si="35">P117/O117</f>
        <v>3953</v>
      </c>
    </row>
    <row r="118" spans="1:18" s="19" customFormat="1" ht="20.25" x14ac:dyDescent="0.3">
      <c r="A118" s="6">
        <f t="shared" si="24"/>
        <v>111</v>
      </c>
      <c r="B118" s="13">
        <v>43252</v>
      </c>
      <c r="C118" s="13">
        <v>43254</v>
      </c>
      <c r="D118" s="14" t="s">
        <v>67</v>
      </c>
      <c r="E118" s="14" t="s">
        <v>68</v>
      </c>
      <c r="F118" s="15">
        <f t="shared" si="18"/>
        <v>192</v>
      </c>
      <c r="G118" s="15">
        <f t="shared" si="28"/>
        <v>1472.6399999999999</v>
      </c>
      <c r="H118" s="6" t="s">
        <v>191</v>
      </c>
      <c r="I118" s="62">
        <f>200+2</f>
        <v>202</v>
      </c>
      <c r="J118" s="17">
        <v>6.5</v>
      </c>
      <c r="K118" s="17">
        <f t="shared" si="34"/>
        <v>1.17</v>
      </c>
      <c r="L118" s="17">
        <f t="shared" si="32"/>
        <v>7.67</v>
      </c>
      <c r="M118" s="17">
        <f t="shared" si="29"/>
        <v>1549.34</v>
      </c>
      <c r="N118" s="17">
        <v>10</v>
      </c>
      <c r="O118" s="17">
        <f t="shared" si="19"/>
        <v>192</v>
      </c>
      <c r="P118" s="17">
        <f t="shared" si="30"/>
        <v>1472.6399999999999</v>
      </c>
      <c r="Q118" s="6"/>
      <c r="R118" s="18">
        <f t="shared" si="35"/>
        <v>7.669999999999999</v>
      </c>
    </row>
    <row r="119" spans="1:18" s="19" customFormat="1" ht="20.25" x14ac:dyDescent="0.3">
      <c r="A119" s="6">
        <f t="shared" si="24"/>
        <v>112</v>
      </c>
      <c r="B119" s="13">
        <v>43830</v>
      </c>
      <c r="C119" s="13">
        <v>43494</v>
      </c>
      <c r="D119" s="14" t="s">
        <v>42</v>
      </c>
      <c r="E119" s="14" t="s">
        <v>429</v>
      </c>
      <c r="F119" s="15">
        <f t="shared" si="18"/>
        <v>478</v>
      </c>
      <c r="G119" s="15">
        <f t="shared" si="28"/>
        <v>1974.1399999999999</v>
      </c>
      <c r="H119" s="6" t="s">
        <v>169</v>
      </c>
      <c r="I119" s="16">
        <v>500</v>
      </c>
      <c r="J119" s="17">
        <v>3.5</v>
      </c>
      <c r="K119" s="17">
        <f t="shared" si="34"/>
        <v>0.63</v>
      </c>
      <c r="L119" s="17">
        <f t="shared" si="32"/>
        <v>4.13</v>
      </c>
      <c r="M119" s="17">
        <f t="shared" si="29"/>
        <v>2065</v>
      </c>
      <c r="N119" s="17">
        <f>15+1+6</f>
        <v>22</v>
      </c>
      <c r="O119" s="17">
        <f t="shared" si="19"/>
        <v>478</v>
      </c>
      <c r="P119" s="17">
        <f t="shared" si="30"/>
        <v>1974.1399999999999</v>
      </c>
      <c r="Q119" s="6" t="s">
        <v>260</v>
      </c>
      <c r="R119" s="18">
        <f t="shared" si="35"/>
        <v>4.13</v>
      </c>
    </row>
    <row r="120" spans="1:18" s="19" customFormat="1" ht="20.25" x14ac:dyDescent="0.3">
      <c r="A120" s="6">
        <f t="shared" si="24"/>
        <v>113</v>
      </c>
      <c r="B120" s="13">
        <v>43830</v>
      </c>
      <c r="C120" s="13">
        <v>43859</v>
      </c>
      <c r="D120" s="14" t="s">
        <v>42</v>
      </c>
      <c r="E120" s="14" t="s">
        <v>43</v>
      </c>
      <c r="F120" s="15">
        <f t="shared" si="18"/>
        <v>449</v>
      </c>
      <c r="G120" s="15">
        <f t="shared" si="28"/>
        <v>1571.5</v>
      </c>
      <c r="H120" s="6" t="s">
        <v>218</v>
      </c>
      <c r="I120" s="16">
        <v>500</v>
      </c>
      <c r="J120" s="17">
        <f>3.5</f>
        <v>3.5</v>
      </c>
      <c r="K120" s="17">
        <v>0</v>
      </c>
      <c r="L120" s="17">
        <f>+J120</f>
        <v>3.5</v>
      </c>
      <c r="M120" s="17">
        <f t="shared" si="29"/>
        <v>1750</v>
      </c>
      <c r="N120" s="17">
        <f>2+1+43+5</f>
        <v>51</v>
      </c>
      <c r="O120" s="17">
        <f t="shared" si="19"/>
        <v>449</v>
      </c>
      <c r="P120" s="17">
        <f t="shared" si="30"/>
        <v>1571.5</v>
      </c>
      <c r="Q120" s="6" t="s">
        <v>260</v>
      </c>
      <c r="R120" s="18">
        <f t="shared" si="35"/>
        <v>3.5</v>
      </c>
    </row>
    <row r="121" spans="1:18" s="19" customFormat="1" ht="20.25" x14ac:dyDescent="0.3">
      <c r="A121" s="6">
        <f t="shared" si="24"/>
        <v>114</v>
      </c>
      <c r="B121" s="13">
        <v>43609</v>
      </c>
      <c r="C121" s="13">
        <v>43612</v>
      </c>
      <c r="D121" s="14" t="s">
        <v>71</v>
      </c>
      <c r="E121" s="14" t="s">
        <v>72</v>
      </c>
      <c r="F121" s="15">
        <f t="shared" si="18"/>
        <v>844</v>
      </c>
      <c r="G121" s="15">
        <v>11600</v>
      </c>
      <c r="H121" s="6" t="s">
        <v>169</v>
      </c>
      <c r="I121" s="16">
        <f>116*12</f>
        <v>1392</v>
      </c>
      <c r="J121" s="17">
        <v>8.33</v>
      </c>
      <c r="K121" s="17">
        <v>0</v>
      </c>
      <c r="L121" s="17">
        <v>0</v>
      </c>
      <c r="M121" s="17">
        <v>11600</v>
      </c>
      <c r="N121" s="17">
        <f>1+12+1+12+10+12+12+150+24+12+12+12+24+24+24+2+150+1+1+4+3+3+2+3+1+1+3+1+2+1+1+12+12+3</f>
        <v>548</v>
      </c>
      <c r="O121" s="32">
        <f t="shared" si="19"/>
        <v>844</v>
      </c>
      <c r="P121" s="17">
        <v>11600</v>
      </c>
      <c r="Q121" s="6" t="s">
        <v>210</v>
      </c>
      <c r="R121" s="18">
        <f t="shared" si="35"/>
        <v>13.744075829383887</v>
      </c>
    </row>
    <row r="122" spans="1:18" s="19" customFormat="1" ht="20.25" x14ac:dyDescent="0.3">
      <c r="A122" s="6">
        <f t="shared" si="24"/>
        <v>115</v>
      </c>
      <c r="B122" s="13">
        <v>43609</v>
      </c>
      <c r="C122" s="13">
        <v>43612</v>
      </c>
      <c r="D122" s="14" t="s">
        <v>73</v>
      </c>
      <c r="E122" s="14" t="s">
        <v>74</v>
      </c>
      <c r="F122" s="15">
        <f t="shared" ref="F122:F185" si="36">$I122-$N122</f>
        <v>-2</v>
      </c>
      <c r="G122" s="15">
        <v>300</v>
      </c>
      <c r="H122" s="6" t="s">
        <v>169</v>
      </c>
      <c r="I122" s="16">
        <v>36</v>
      </c>
      <c r="J122" s="17">
        <v>8.33</v>
      </c>
      <c r="K122" s="17">
        <v>0</v>
      </c>
      <c r="L122" s="17">
        <v>0</v>
      </c>
      <c r="M122" s="17">
        <v>300</v>
      </c>
      <c r="N122" s="17">
        <f>24+1+6+1+1+2+1+2</f>
        <v>38</v>
      </c>
      <c r="O122" s="31">
        <f>$I122-$N122</f>
        <v>-2</v>
      </c>
      <c r="P122" s="17">
        <v>300</v>
      </c>
      <c r="Q122" s="6" t="s">
        <v>210</v>
      </c>
      <c r="R122" s="18">
        <f t="shared" si="35"/>
        <v>-150</v>
      </c>
    </row>
    <row r="123" spans="1:18" s="19" customFormat="1" ht="20.25" x14ac:dyDescent="0.3">
      <c r="A123" s="6">
        <f t="shared" si="24"/>
        <v>116</v>
      </c>
      <c r="B123" s="13" t="s">
        <v>369</v>
      </c>
      <c r="C123" s="13" t="s">
        <v>325</v>
      </c>
      <c r="D123" s="14" t="s">
        <v>73</v>
      </c>
      <c r="E123" s="14" t="s">
        <v>370</v>
      </c>
      <c r="F123" s="15">
        <f t="shared" si="36"/>
        <v>7</v>
      </c>
      <c r="G123" s="15">
        <f>$O123*$L123</f>
        <v>43.75</v>
      </c>
      <c r="H123" s="6" t="s">
        <v>169</v>
      </c>
      <c r="I123" s="16">
        <v>24</v>
      </c>
      <c r="J123" s="17">
        <v>6.25</v>
      </c>
      <c r="K123" s="17">
        <v>0</v>
      </c>
      <c r="L123" s="17">
        <f t="shared" ref="L123" si="37">+J123+K123</f>
        <v>6.25</v>
      </c>
      <c r="M123" s="17">
        <f t="shared" ref="M123" si="38">$I123*$L123</f>
        <v>150</v>
      </c>
      <c r="N123" s="17">
        <f>12+1+4</f>
        <v>17</v>
      </c>
      <c r="O123" s="17">
        <f t="shared" ref="O123:O186" si="39">$I123-$N123</f>
        <v>7</v>
      </c>
      <c r="P123" s="17">
        <f>$O123*$L123</f>
        <v>43.75</v>
      </c>
      <c r="Q123" s="6" t="s">
        <v>368</v>
      </c>
      <c r="R123" s="18"/>
    </row>
    <row r="124" spans="1:18" s="19" customFormat="1" ht="20.25" x14ac:dyDescent="0.3">
      <c r="A124" s="6">
        <f t="shared" si="24"/>
        <v>117</v>
      </c>
      <c r="B124" s="13">
        <v>43318</v>
      </c>
      <c r="C124" s="13">
        <v>43319</v>
      </c>
      <c r="D124" s="14" t="s">
        <v>75</v>
      </c>
      <c r="E124" s="14" t="s">
        <v>76</v>
      </c>
      <c r="F124" s="15">
        <f t="shared" si="36"/>
        <v>0</v>
      </c>
      <c r="G124" s="15">
        <f>$O124*$L124</f>
        <v>0</v>
      </c>
      <c r="H124" s="6" t="s">
        <v>169</v>
      </c>
      <c r="I124" s="16">
        <v>30</v>
      </c>
      <c r="J124" s="17">
        <v>15</v>
      </c>
      <c r="K124" s="17">
        <f>+J124*18%</f>
        <v>2.6999999999999997</v>
      </c>
      <c r="L124" s="17">
        <f>+J124+K124</f>
        <v>17.7</v>
      </c>
      <c r="M124" s="17">
        <f>$I124*$L124</f>
        <v>531</v>
      </c>
      <c r="N124" s="17">
        <f>28+1+1</f>
        <v>30</v>
      </c>
      <c r="O124" s="17">
        <f t="shared" si="39"/>
        <v>0</v>
      </c>
      <c r="P124" s="17">
        <f>$O124*$L124</f>
        <v>0</v>
      </c>
      <c r="Q124" s="6"/>
      <c r="R124" s="18" t="e">
        <f>P124/O124</f>
        <v>#DIV/0!</v>
      </c>
    </row>
    <row r="125" spans="1:18" s="19" customFormat="1" ht="20.25" x14ac:dyDescent="0.3">
      <c r="A125" s="6">
        <f t="shared" si="24"/>
        <v>118</v>
      </c>
      <c r="B125" s="13">
        <v>43609</v>
      </c>
      <c r="C125" s="13">
        <v>43612</v>
      </c>
      <c r="D125" s="14" t="s">
        <v>75</v>
      </c>
      <c r="E125" s="14" t="s">
        <v>76</v>
      </c>
      <c r="F125" s="15">
        <f t="shared" si="36"/>
        <v>24</v>
      </c>
      <c r="G125" s="15">
        <v>200</v>
      </c>
      <c r="H125" s="6" t="s">
        <v>169</v>
      </c>
      <c r="I125" s="16">
        <v>24</v>
      </c>
      <c r="J125" s="17">
        <v>8.33</v>
      </c>
      <c r="K125" s="17">
        <v>0</v>
      </c>
      <c r="L125" s="17">
        <v>0</v>
      </c>
      <c r="M125" s="17">
        <v>200</v>
      </c>
      <c r="N125" s="17"/>
      <c r="O125" s="17">
        <f t="shared" si="39"/>
        <v>24</v>
      </c>
      <c r="P125" s="17">
        <v>200</v>
      </c>
      <c r="Q125" s="6" t="s">
        <v>210</v>
      </c>
      <c r="R125" s="18">
        <f>P125/O125</f>
        <v>8.3333333333333339</v>
      </c>
    </row>
    <row r="126" spans="1:18" s="19" customFormat="1" ht="20.25" x14ac:dyDescent="0.3">
      <c r="A126" s="6">
        <f t="shared" si="24"/>
        <v>119</v>
      </c>
      <c r="B126" s="13">
        <v>43609</v>
      </c>
      <c r="C126" s="13">
        <v>43612</v>
      </c>
      <c r="D126" s="14" t="s">
        <v>77</v>
      </c>
      <c r="E126" s="14" t="s">
        <v>78</v>
      </c>
      <c r="F126" s="15">
        <f t="shared" si="36"/>
        <v>632</v>
      </c>
      <c r="G126" s="15">
        <v>1250</v>
      </c>
      <c r="H126" s="6" t="s">
        <v>169</v>
      </c>
      <c r="I126" s="16">
        <f>60*12</f>
        <v>720</v>
      </c>
      <c r="J126" s="17">
        <v>12</v>
      </c>
      <c r="K126" s="17">
        <v>0</v>
      </c>
      <c r="L126" s="17">
        <v>0</v>
      </c>
      <c r="M126" s="17">
        <v>1250</v>
      </c>
      <c r="N126" s="17">
        <f>12+24+1+2+1+12+2+2+1+2+2+1+12+12+2</f>
        <v>88</v>
      </c>
      <c r="O126" s="17">
        <f t="shared" si="39"/>
        <v>632</v>
      </c>
      <c r="P126" s="17">
        <v>1250</v>
      </c>
      <c r="Q126" s="6" t="s">
        <v>210</v>
      </c>
      <c r="R126" s="18">
        <f>P126/O126</f>
        <v>1.9778481012658229</v>
      </c>
    </row>
    <row r="127" spans="1:18" ht="20.25" x14ac:dyDescent="0.3">
      <c r="A127" s="6">
        <f t="shared" si="24"/>
        <v>120</v>
      </c>
      <c r="B127" s="13" t="s">
        <v>369</v>
      </c>
      <c r="C127" s="13" t="s">
        <v>325</v>
      </c>
      <c r="D127" s="14" t="s">
        <v>372</v>
      </c>
      <c r="E127" s="14" t="s">
        <v>373</v>
      </c>
      <c r="F127" s="15">
        <f t="shared" si="36"/>
        <v>130</v>
      </c>
      <c r="G127" s="15">
        <f t="shared" ref="G127:G190" si="40">$O127*$L127</f>
        <v>757.9</v>
      </c>
      <c r="H127" s="6" t="s">
        <v>169</v>
      </c>
      <c r="I127" s="5">
        <v>132</v>
      </c>
      <c r="J127" s="17">
        <v>5.83</v>
      </c>
      <c r="K127" s="17">
        <v>0</v>
      </c>
      <c r="L127" s="17">
        <f>+J127+K127</f>
        <v>5.83</v>
      </c>
      <c r="M127" s="17">
        <f>$I127*$L127</f>
        <v>769.56000000000006</v>
      </c>
      <c r="N127" s="17">
        <f>1+1</f>
        <v>2</v>
      </c>
      <c r="O127" s="17">
        <f t="shared" si="39"/>
        <v>130</v>
      </c>
      <c r="P127" s="17">
        <f t="shared" ref="P127:P190" si="41">$O127*$L127</f>
        <v>757.9</v>
      </c>
      <c r="Q127" s="6" t="s">
        <v>368</v>
      </c>
    </row>
    <row r="128" spans="1:18" s="19" customFormat="1" ht="20.25" x14ac:dyDescent="0.3">
      <c r="A128" s="6">
        <f t="shared" si="24"/>
        <v>121</v>
      </c>
      <c r="B128" s="13" t="s">
        <v>324</v>
      </c>
      <c r="C128" s="13" t="s">
        <v>325</v>
      </c>
      <c r="D128" s="14" t="s">
        <v>350</v>
      </c>
      <c r="E128" s="14" t="s">
        <v>351</v>
      </c>
      <c r="F128" s="15">
        <f t="shared" si="36"/>
        <v>3</v>
      </c>
      <c r="G128" s="15">
        <f t="shared" si="40"/>
        <v>633.66</v>
      </c>
      <c r="H128" s="6" t="s">
        <v>352</v>
      </c>
      <c r="I128" s="16">
        <v>3</v>
      </c>
      <c r="J128" s="17">
        <v>179</v>
      </c>
      <c r="K128" s="17">
        <f t="shared" ref="K128:K130" si="42">+J128*18%</f>
        <v>32.22</v>
      </c>
      <c r="L128" s="17">
        <f t="shared" ref="L128:L153" si="43">+J128+K128</f>
        <v>211.22</v>
      </c>
      <c r="M128" s="17">
        <f>$I128*$L128</f>
        <v>633.66</v>
      </c>
      <c r="N128" s="17">
        <v>0</v>
      </c>
      <c r="O128" s="17">
        <f t="shared" si="39"/>
        <v>3</v>
      </c>
      <c r="P128" s="17">
        <f t="shared" si="41"/>
        <v>633.66</v>
      </c>
      <c r="Q128" s="6" t="s">
        <v>330</v>
      </c>
      <c r="R128" s="18"/>
    </row>
    <row r="129" spans="1:18" s="19" customFormat="1" ht="20.25" x14ac:dyDescent="0.3">
      <c r="A129" s="6">
        <f t="shared" si="24"/>
        <v>122</v>
      </c>
      <c r="B129" s="13" t="s">
        <v>369</v>
      </c>
      <c r="C129" s="13" t="s">
        <v>325</v>
      </c>
      <c r="D129" s="14" t="s">
        <v>79</v>
      </c>
      <c r="E129" s="61" t="s">
        <v>80</v>
      </c>
      <c r="F129" s="15">
        <f>$I129-$N129</f>
        <v>66</v>
      </c>
      <c r="G129" s="15">
        <f t="shared" si="40"/>
        <v>2725.7999999999997</v>
      </c>
      <c r="H129" s="6" t="s">
        <v>169</v>
      </c>
      <c r="I129" s="62">
        <f>60+24</f>
        <v>84</v>
      </c>
      <c r="J129" s="17">
        <v>35</v>
      </c>
      <c r="K129" s="17">
        <f t="shared" si="42"/>
        <v>6.3</v>
      </c>
      <c r="L129" s="17">
        <f t="shared" si="43"/>
        <v>41.3</v>
      </c>
      <c r="M129" s="17">
        <f>$I129*$L129</f>
        <v>3469.2</v>
      </c>
      <c r="N129" s="17">
        <f>3+6+2+7</f>
        <v>18</v>
      </c>
      <c r="O129" s="17">
        <f t="shared" si="39"/>
        <v>66</v>
      </c>
      <c r="P129" s="17">
        <f t="shared" si="41"/>
        <v>2725.7999999999997</v>
      </c>
      <c r="Q129" s="6" t="s">
        <v>368</v>
      </c>
      <c r="R129" s="18">
        <f>P129/O129</f>
        <v>41.3</v>
      </c>
    </row>
    <row r="130" spans="1:18" s="19" customFormat="1" ht="20.25" x14ac:dyDescent="0.3">
      <c r="A130" s="6">
        <f t="shared" si="24"/>
        <v>123</v>
      </c>
      <c r="B130" s="13" t="s">
        <v>369</v>
      </c>
      <c r="C130" s="13" t="s">
        <v>325</v>
      </c>
      <c r="D130" s="14" t="s">
        <v>81</v>
      </c>
      <c r="E130" s="61" t="s">
        <v>82</v>
      </c>
      <c r="F130" s="15">
        <f t="shared" si="36"/>
        <v>62</v>
      </c>
      <c r="G130" s="15">
        <f t="shared" si="40"/>
        <v>1316.8799999999999</v>
      </c>
      <c r="H130" s="6" t="s">
        <v>169</v>
      </c>
      <c r="I130" s="62">
        <f>60+24</f>
        <v>84</v>
      </c>
      <c r="J130" s="17">
        <v>18</v>
      </c>
      <c r="K130" s="17">
        <f t="shared" si="42"/>
        <v>3.2399999999999998</v>
      </c>
      <c r="L130" s="17">
        <f t="shared" si="43"/>
        <v>21.24</v>
      </c>
      <c r="M130" s="17">
        <f t="shared" ref="M130:M153" si="44">$I130*$L130</f>
        <v>1784.1599999999999</v>
      </c>
      <c r="N130" s="17">
        <f>6+4+6+6</f>
        <v>22</v>
      </c>
      <c r="O130" s="17">
        <f t="shared" si="39"/>
        <v>62</v>
      </c>
      <c r="P130" s="17">
        <f t="shared" si="41"/>
        <v>1316.8799999999999</v>
      </c>
      <c r="Q130" s="6" t="s">
        <v>368</v>
      </c>
      <c r="R130" s="18">
        <f>P130/O130</f>
        <v>21.24</v>
      </c>
    </row>
    <row r="131" spans="1:18" s="19" customFormat="1" ht="20.25" x14ac:dyDescent="0.3">
      <c r="A131" s="6">
        <f t="shared" si="24"/>
        <v>124</v>
      </c>
      <c r="B131" s="13">
        <v>43609</v>
      </c>
      <c r="C131" s="13">
        <v>43612</v>
      </c>
      <c r="D131" s="14" t="s">
        <v>224</v>
      </c>
      <c r="E131" s="14" t="s">
        <v>225</v>
      </c>
      <c r="F131" s="15">
        <f t="shared" si="36"/>
        <v>1</v>
      </c>
      <c r="G131" s="15">
        <f t="shared" si="40"/>
        <v>500</v>
      </c>
      <c r="H131" s="6" t="s">
        <v>169</v>
      </c>
      <c r="I131" s="16">
        <v>5</v>
      </c>
      <c r="J131" s="17">
        <v>500</v>
      </c>
      <c r="K131" s="17">
        <v>0</v>
      </c>
      <c r="L131" s="17">
        <f t="shared" si="43"/>
        <v>500</v>
      </c>
      <c r="M131" s="17">
        <f t="shared" si="44"/>
        <v>2500</v>
      </c>
      <c r="N131" s="17">
        <f>2+1+1</f>
        <v>4</v>
      </c>
      <c r="O131" s="31">
        <f t="shared" si="39"/>
        <v>1</v>
      </c>
      <c r="P131" s="17">
        <f t="shared" si="41"/>
        <v>500</v>
      </c>
      <c r="Q131" s="6" t="s">
        <v>210</v>
      </c>
      <c r="R131" s="18">
        <f>P131/O131</f>
        <v>500</v>
      </c>
    </row>
    <row r="132" spans="1:18" s="19" customFormat="1" ht="20.25" x14ac:dyDescent="0.3">
      <c r="A132" s="6">
        <f t="shared" si="24"/>
        <v>125</v>
      </c>
      <c r="B132" s="13">
        <v>43830</v>
      </c>
      <c r="C132" s="13">
        <v>43494</v>
      </c>
      <c r="D132" s="14" t="s">
        <v>224</v>
      </c>
      <c r="E132" s="14" t="s">
        <v>225</v>
      </c>
      <c r="F132" s="15">
        <f t="shared" si="36"/>
        <v>13</v>
      </c>
      <c r="G132" s="15">
        <f t="shared" si="40"/>
        <v>7748</v>
      </c>
      <c r="H132" s="6" t="s">
        <v>169</v>
      </c>
      <c r="I132" s="16">
        <v>15</v>
      </c>
      <c r="J132" s="17">
        <f>596</f>
        <v>596</v>
      </c>
      <c r="K132" s="17">
        <v>0</v>
      </c>
      <c r="L132" s="17">
        <f t="shared" si="43"/>
        <v>596</v>
      </c>
      <c r="M132" s="17">
        <f t="shared" si="44"/>
        <v>8940</v>
      </c>
      <c r="N132" s="17">
        <f>1+1</f>
        <v>2</v>
      </c>
      <c r="O132" s="17">
        <f t="shared" si="39"/>
        <v>13</v>
      </c>
      <c r="P132" s="17">
        <f t="shared" si="41"/>
        <v>7748</v>
      </c>
      <c r="Q132" s="6" t="s">
        <v>260</v>
      </c>
      <c r="R132" s="18">
        <f>P132/O132</f>
        <v>596</v>
      </c>
    </row>
    <row r="133" spans="1:18" s="19" customFormat="1" ht="20.25" x14ac:dyDescent="0.3">
      <c r="A133" s="6">
        <f t="shared" si="24"/>
        <v>126</v>
      </c>
      <c r="B133" s="13" t="s">
        <v>324</v>
      </c>
      <c r="C133" s="13" t="s">
        <v>325</v>
      </c>
      <c r="D133" s="14" t="s">
        <v>353</v>
      </c>
      <c r="E133" s="14" t="s">
        <v>354</v>
      </c>
      <c r="F133" s="15">
        <f t="shared" si="36"/>
        <v>4</v>
      </c>
      <c r="G133" s="15">
        <f t="shared" si="40"/>
        <v>2100.4</v>
      </c>
      <c r="H133" s="6" t="s">
        <v>352</v>
      </c>
      <c r="I133" s="16">
        <v>4</v>
      </c>
      <c r="J133" s="17">
        <v>445</v>
      </c>
      <c r="K133" s="17">
        <f>+J133*18%</f>
        <v>80.099999999999994</v>
      </c>
      <c r="L133" s="17">
        <f t="shared" si="43"/>
        <v>525.1</v>
      </c>
      <c r="M133" s="17">
        <f>$I133*$L133</f>
        <v>2100.4</v>
      </c>
      <c r="N133" s="17">
        <v>0</v>
      </c>
      <c r="O133" s="17">
        <f t="shared" si="39"/>
        <v>4</v>
      </c>
      <c r="P133" s="17">
        <f t="shared" si="41"/>
        <v>2100.4</v>
      </c>
      <c r="Q133" s="6" t="s">
        <v>330</v>
      </c>
      <c r="R133" s="18"/>
    </row>
    <row r="134" spans="1:18" s="19" customFormat="1" ht="20.25" x14ac:dyDescent="0.3">
      <c r="A134" s="6">
        <f t="shared" si="24"/>
        <v>127</v>
      </c>
      <c r="B134" s="13">
        <v>43657</v>
      </c>
      <c r="C134" s="13">
        <v>43677</v>
      </c>
      <c r="D134" s="14" t="s">
        <v>254</v>
      </c>
      <c r="E134" s="14" t="s">
        <v>255</v>
      </c>
      <c r="F134" s="15">
        <f t="shared" si="36"/>
        <v>171</v>
      </c>
      <c r="G134" s="15">
        <f t="shared" si="40"/>
        <v>37228.410000000003</v>
      </c>
      <c r="H134" s="6" t="s">
        <v>169</v>
      </c>
      <c r="I134" s="16">
        <v>200</v>
      </c>
      <c r="J134" s="17">
        <v>184.5</v>
      </c>
      <c r="K134" s="17">
        <f t="shared" ref="K134:K195" si="45">+J134*18%</f>
        <v>33.21</v>
      </c>
      <c r="L134" s="17">
        <f t="shared" si="43"/>
        <v>217.71</v>
      </c>
      <c r="M134" s="17">
        <f t="shared" si="44"/>
        <v>43542</v>
      </c>
      <c r="N134" s="17">
        <f>4+15+10</f>
        <v>29</v>
      </c>
      <c r="O134" s="17">
        <f t="shared" si="39"/>
        <v>171</v>
      </c>
      <c r="P134" s="17">
        <f t="shared" si="41"/>
        <v>37228.410000000003</v>
      </c>
      <c r="Q134" s="6" t="s">
        <v>256</v>
      </c>
      <c r="R134" s="18">
        <f t="shared" ref="R134:R145" si="46">P134/O134</f>
        <v>217.71</v>
      </c>
    </row>
    <row r="135" spans="1:18" s="19" customFormat="1" ht="20.25" x14ac:dyDescent="0.3">
      <c r="A135" s="6">
        <f t="shared" si="24"/>
        <v>128</v>
      </c>
      <c r="B135" s="13">
        <v>43318</v>
      </c>
      <c r="C135" s="13">
        <v>43319</v>
      </c>
      <c r="D135" s="14" t="s">
        <v>83</v>
      </c>
      <c r="E135" s="14" t="s">
        <v>84</v>
      </c>
      <c r="F135" s="15">
        <f t="shared" si="36"/>
        <v>24</v>
      </c>
      <c r="G135" s="15">
        <f t="shared" si="40"/>
        <v>5664</v>
      </c>
      <c r="H135" s="6" t="s">
        <v>169</v>
      </c>
      <c r="I135" s="16">
        <v>33</v>
      </c>
      <c r="J135" s="17">
        <v>200</v>
      </c>
      <c r="K135" s="17">
        <f t="shared" si="45"/>
        <v>36</v>
      </c>
      <c r="L135" s="17">
        <f t="shared" si="43"/>
        <v>236</v>
      </c>
      <c r="M135" s="17">
        <f t="shared" si="44"/>
        <v>7788</v>
      </c>
      <c r="N135" s="17">
        <f>3+2+2+2</f>
        <v>9</v>
      </c>
      <c r="O135" s="17">
        <f t="shared" si="39"/>
        <v>24</v>
      </c>
      <c r="P135" s="17">
        <f t="shared" si="41"/>
        <v>5664</v>
      </c>
      <c r="Q135" s="6"/>
      <c r="R135" s="18">
        <f t="shared" si="46"/>
        <v>236</v>
      </c>
    </row>
    <row r="136" spans="1:18" s="19" customFormat="1" ht="20.25" x14ac:dyDescent="0.3">
      <c r="A136" s="6">
        <f t="shared" si="24"/>
        <v>129</v>
      </c>
      <c r="B136" s="13">
        <v>43318</v>
      </c>
      <c r="C136" s="13">
        <v>43319</v>
      </c>
      <c r="D136" s="14" t="s">
        <v>192</v>
      </c>
      <c r="E136" s="61" t="s">
        <v>193</v>
      </c>
      <c r="F136" s="15">
        <f t="shared" si="36"/>
        <v>13</v>
      </c>
      <c r="G136" s="15">
        <f t="shared" si="40"/>
        <v>1764.2534000000001</v>
      </c>
      <c r="H136" s="6" t="s">
        <v>169</v>
      </c>
      <c r="I136" s="62">
        <f>1+12</f>
        <v>13</v>
      </c>
      <c r="J136" s="17">
        <v>115.01</v>
      </c>
      <c r="K136" s="17">
        <f t="shared" si="45"/>
        <v>20.701799999999999</v>
      </c>
      <c r="L136" s="17">
        <f t="shared" si="43"/>
        <v>135.71180000000001</v>
      </c>
      <c r="M136" s="17">
        <f t="shared" si="44"/>
        <v>1764.2534000000001</v>
      </c>
      <c r="N136" s="17">
        <v>0</v>
      </c>
      <c r="O136" s="31">
        <f t="shared" si="39"/>
        <v>13</v>
      </c>
      <c r="P136" s="17">
        <f t="shared" si="41"/>
        <v>1764.2534000000001</v>
      </c>
      <c r="R136" s="18">
        <f t="shared" si="46"/>
        <v>135.71180000000001</v>
      </c>
    </row>
    <row r="137" spans="1:18" s="19" customFormat="1" ht="20.25" x14ac:dyDescent="0.3">
      <c r="A137" s="6">
        <f t="shared" si="24"/>
        <v>130</v>
      </c>
      <c r="B137" s="13">
        <v>43318</v>
      </c>
      <c r="C137" s="13">
        <v>43319</v>
      </c>
      <c r="D137" s="14" t="s">
        <v>85</v>
      </c>
      <c r="E137" s="14" t="s">
        <v>86</v>
      </c>
      <c r="F137" s="15">
        <f t="shared" si="36"/>
        <v>1</v>
      </c>
      <c r="G137" s="15">
        <f t="shared" si="40"/>
        <v>141.6</v>
      </c>
      <c r="H137" s="6" t="s">
        <v>169</v>
      </c>
      <c r="I137" s="16">
        <v>25</v>
      </c>
      <c r="J137" s="17">
        <v>120</v>
      </c>
      <c r="K137" s="17">
        <f t="shared" si="45"/>
        <v>21.599999999999998</v>
      </c>
      <c r="L137" s="17">
        <f t="shared" si="43"/>
        <v>141.6</v>
      </c>
      <c r="M137" s="17">
        <f t="shared" si="44"/>
        <v>3540</v>
      </c>
      <c r="N137" s="17">
        <f>15+1+2+1+2+1+2</f>
        <v>24</v>
      </c>
      <c r="O137" s="31">
        <f t="shared" si="39"/>
        <v>1</v>
      </c>
      <c r="P137" s="17">
        <f t="shared" si="41"/>
        <v>141.6</v>
      </c>
      <c r="R137" s="18">
        <f t="shared" si="46"/>
        <v>141.6</v>
      </c>
    </row>
    <row r="138" spans="1:18" s="19" customFormat="1" ht="20.25" x14ac:dyDescent="0.3">
      <c r="A138" s="6">
        <f t="shared" ref="A138:A201" si="47">A137+1</f>
        <v>131</v>
      </c>
      <c r="B138" s="13">
        <v>43609</v>
      </c>
      <c r="C138" s="13">
        <v>43612</v>
      </c>
      <c r="D138" s="14" t="s">
        <v>85</v>
      </c>
      <c r="E138" s="14" t="s">
        <v>86</v>
      </c>
      <c r="F138" s="15">
        <f t="shared" si="36"/>
        <v>2</v>
      </c>
      <c r="G138" s="15">
        <f t="shared" si="40"/>
        <v>188.8</v>
      </c>
      <c r="H138" s="6" t="s">
        <v>169</v>
      </c>
      <c r="I138" s="16">
        <v>5</v>
      </c>
      <c r="J138" s="17">
        <v>80</v>
      </c>
      <c r="K138" s="17">
        <f t="shared" si="45"/>
        <v>14.399999999999999</v>
      </c>
      <c r="L138" s="17">
        <f t="shared" si="43"/>
        <v>94.4</v>
      </c>
      <c r="M138" s="17">
        <f t="shared" si="44"/>
        <v>472</v>
      </c>
      <c r="N138" s="17">
        <f>1+2</f>
        <v>3</v>
      </c>
      <c r="O138" s="31">
        <f t="shared" si="39"/>
        <v>2</v>
      </c>
      <c r="P138" s="17">
        <f t="shared" si="41"/>
        <v>188.8</v>
      </c>
      <c r="Q138" s="6" t="s">
        <v>210</v>
      </c>
      <c r="R138" s="18">
        <f t="shared" si="46"/>
        <v>94.4</v>
      </c>
    </row>
    <row r="139" spans="1:18" s="19" customFormat="1" ht="21.75" customHeight="1" x14ac:dyDescent="0.3">
      <c r="A139" s="6">
        <f t="shared" si="47"/>
        <v>132</v>
      </c>
      <c r="B139" s="13">
        <v>43318</v>
      </c>
      <c r="C139" s="13">
        <v>43319</v>
      </c>
      <c r="D139" s="14" t="s">
        <v>87</v>
      </c>
      <c r="E139" s="61" t="s">
        <v>88</v>
      </c>
      <c r="F139" s="15">
        <f t="shared" si="36"/>
        <v>15</v>
      </c>
      <c r="G139" s="15">
        <f t="shared" si="40"/>
        <v>1770</v>
      </c>
      <c r="H139" s="6" t="s">
        <v>169</v>
      </c>
      <c r="I139" s="62">
        <f>4+12</f>
        <v>16</v>
      </c>
      <c r="J139" s="17">
        <v>100</v>
      </c>
      <c r="K139" s="17">
        <f t="shared" si="45"/>
        <v>18</v>
      </c>
      <c r="L139" s="17">
        <f t="shared" si="43"/>
        <v>118</v>
      </c>
      <c r="M139" s="17">
        <f t="shared" si="44"/>
        <v>1888</v>
      </c>
      <c r="N139" s="17">
        <f>1+0</f>
        <v>1</v>
      </c>
      <c r="O139" s="31">
        <f t="shared" si="39"/>
        <v>15</v>
      </c>
      <c r="P139" s="17">
        <f t="shared" si="41"/>
        <v>1770</v>
      </c>
      <c r="Q139" s="6"/>
      <c r="R139" s="18">
        <f t="shared" si="46"/>
        <v>118</v>
      </c>
    </row>
    <row r="140" spans="1:18" s="19" customFormat="1" ht="20.25" x14ac:dyDescent="0.3">
      <c r="A140" s="6">
        <f t="shared" si="47"/>
        <v>133</v>
      </c>
      <c r="B140" s="13">
        <v>43609</v>
      </c>
      <c r="C140" s="13">
        <v>43612</v>
      </c>
      <c r="D140" s="14" t="s">
        <v>83</v>
      </c>
      <c r="E140" s="14" t="s">
        <v>194</v>
      </c>
      <c r="F140" s="15">
        <f t="shared" si="36"/>
        <v>4</v>
      </c>
      <c r="G140" s="15">
        <f t="shared" si="40"/>
        <v>448.4</v>
      </c>
      <c r="H140" s="6" t="s">
        <v>169</v>
      </c>
      <c r="I140" s="16">
        <v>10</v>
      </c>
      <c r="J140" s="17">
        <v>95</v>
      </c>
      <c r="K140" s="17">
        <f t="shared" si="45"/>
        <v>17.099999999999998</v>
      </c>
      <c r="L140" s="17">
        <f t="shared" si="43"/>
        <v>112.1</v>
      </c>
      <c r="M140" s="17">
        <f t="shared" si="44"/>
        <v>1121</v>
      </c>
      <c r="N140" s="17">
        <f>2+1+1+2</f>
        <v>6</v>
      </c>
      <c r="O140" s="31">
        <f t="shared" si="39"/>
        <v>4</v>
      </c>
      <c r="P140" s="17">
        <f t="shared" si="41"/>
        <v>448.4</v>
      </c>
      <c r="Q140" s="6" t="s">
        <v>210</v>
      </c>
      <c r="R140" s="18">
        <f t="shared" si="46"/>
        <v>112.1</v>
      </c>
    </row>
    <row r="141" spans="1:18" s="19" customFormat="1" ht="20.25" x14ac:dyDescent="0.3">
      <c r="A141" s="6">
        <f t="shared" si="47"/>
        <v>134</v>
      </c>
      <c r="B141" s="13">
        <v>43318</v>
      </c>
      <c r="C141" s="13">
        <v>43319</v>
      </c>
      <c r="D141" s="14" t="s">
        <v>85</v>
      </c>
      <c r="E141" s="14" t="s">
        <v>89</v>
      </c>
      <c r="F141" s="15">
        <f t="shared" si="36"/>
        <v>16</v>
      </c>
      <c r="G141" s="15">
        <f t="shared" si="40"/>
        <v>3776</v>
      </c>
      <c r="H141" s="6" t="s">
        <v>169</v>
      </c>
      <c r="I141" s="16">
        <v>20</v>
      </c>
      <c r="J141" s="17">
        <v>200</v>
      </c>
      <c r="K141" s="17">
        <f t="shared" si="45"/>
        <v>36</v>
      </c>
      <c r="L141" s="17">
        <f t="shared" si="43"/>
        <v>236</v>
      </c>
      <c r="M141" s="17">
        <f t="shared" si="44"/>
        <v>4720</v>
      </c>
      <c r="N141" s="17">
        <f>1+1+2</f>
        <v>4</v>
      </c>
      <c r="O141" s="17">
        <f t="shared" si="39"/>
        <v>16</v>
      </c>
      <c r="P141" s="17">
        <f t="shared" si="41"/>
        <v>3776</v>
      </c>
      <c r="Q141" s="6"/>
      <c r="R141" s="18">
        <f t="shared" si="46"/>
        <v>236</v>
      </c>
    </row>
    <row r="142" spans="1:18" s="19" customFormat="1" ht="20.25" x14ac:dyDescent="0.3">
      <c r="A142" s="6">
        <f t="shared" si="47"/>
        <v>135</v>
      </c>
      <c r="B142" s="13">
        <v>43609</v>
      </c>
      <c r="C142" s="13">
        <v>43612</v>
      </c>
      <c r="D142" s="14" t="s">
        <v>219</v>
      </c>
      <c r="E142" s="14" t="s">
        <v>220</v>
      </c>
      <c r="F142" s="15">
        <f t="shared" si="36"/>
        <v>6</v>
      </c>
      <c r="G142" s="15">
        <f t="shared" si="40"/>
        <v>672.59999999999991</v>
      </c>
      <c r="H142" s="6" t="s">
        <v>169</v>
      </c>
      <c r="I142" s="16">
        <v>10</v>
      </c>
      <c r="J142" s="17">
        <v>95</v>
      </c>
      <c r="K142" s="17">
        <f>$J142*18%</f>
        <v>17.099999999999998</v>
      </c>
      <c r="L142" s="17">
        <f t="shared" si="43"/>
        <v>112.1</v>
      </c>
      <c r="M142" s="17">
        <f t="shared" si="44"/>
        <v>1121</v>
      </c>
      <c r="N142" s="17">
        <f>2+2</f>
        <v>4</v>
      </c>
      <c r="O142" s="17">
        <f t="shared" si="39"/>
        <v>6</v>
      </c>
      <c r="P142" s="17">
        <f t="shared" si="41"/>
        <v>672.59999999999991</v>
      </c>
      <c r="Q142" s="6" t="s">
        <v>210</v>
      </c>
      <c r="R142" s="18">
        <f t="shared" si="46"/>
        <v>112.09999999999998</v>
      </c>
    </row>
    <row r="143" spans="1:18" s="19" customFormat="1" ht="20.25" x14ac:dyDescent="0.3">
      <c r="A143" s="6">
        <f t="shared" si="47"/>
        <v>136</v>
      </c>
      <c r="B143" s="13">
        <v>43318</v>
      </c>
      <c r="C143" s="13">
        <v>43319</v>
      </c>
      <c r="D143" s="14" t="s">
        <v>83</v>
      </c>
      <c r="E143" s="14" t="s">
        <v>195</v>
      </c>
      <c r="F143" s="15">
        <f t="shared" si="36"/>
        <v>21</v>
      </c>
      <c r="G143" s="15">
        <f t="shared" si="40"/>
        <v>3221.4</v>
      </c>
      <c r="H143" s="6" t="s">
        <v>169</v>
      </c>
      <c r="I143" s="16">
        <v>27</v>
      </c>
      <c r="J143" s="17">
        <v>130</v>
      </c>
      <c r="K143" s="17">
        <f t="shared" si="45"/>
        <v>23.4</v>
      </c>
      <c r="L143" s="17">
        <f t="shared" si="43"/>
        <v>153.4</v>
      </c>
      <c r="M143" s="17">
        <f t="shared" si="44"/>
        <v>4141.8</v>
      </c>
      <c r="N143" s="17">
        <f>1+1+1+3+0</f>
        <v>6</v>
      </c>
      <c r="O143" s="17">
        <f t="shared" si="39"/>
        <v>21</v>
      </c>
      <c r="P143" s="17">
        <f t="shared" si="41"/>
        <v>3221.4</v>
      </c>
      <c r="Q143" s="6"/>
      <c r="R143" s="18">
        <f t="shared" si="46"/>
        <v>153.4</v>
      </c>
    </row>
    <row r="144" spans="1:18" s="19" customFormat="1" ht="20.25" x14ac:dyDescent="0.3">
      <c r="A144" s="6">
        <f t="shared" si="47"/>
        <v>137</v>
      </c>
      <c r="B144" s="13">
        <v>43609</v>
      </c>
      <c r="C144" s="13">
        <v>43612</v>
      </c>
      <c r="D144" s="14" t="s">
        <v>192</v>
      </c>
      <c r="E144" s="14" t="s">
        <v>221</v>
      </c>
      <c r="F144" s="15">
        <f t="shared" si="36"/>
        <v>10</v>
      </c>
      <c r="G144" s="15">
        <f t="shared" si="40"/>
        <v>1770</v>
      </c>
      <c r="H144" s="6" t="s">
        <v>169</v>
      </c>
      <c r="I144" s="16">
        <v>10</v>
      </c>
      <c r="J144" s="17">
        <v>150</v>
      </c>
      <c r="K144" s="17">
        <f t="shared" si="45"/>
        <v>27</v>
      </c>
      <c r="L144" s="17">
        <f t="shared" si="43"/>
        <v>177</v>
      </c>
      <c r="M144" s="17">
        <f t="shared" si="44"/>
        <v>1770</v>
      </c>
      <c r="N144" s="17"/>
      <c r="O144" s="17">
        <f t="shared" si="39"/>
        <v>10</v>
      </c>
      <c r="P144" s="17">
        <f t="shared" si="41"/>
        <v>1770</v>
      </c>
      <c r="Q144" s="6" t="s">
        <v>210</v>
      </c>
      <c r="R144" s="18">
        <f t="shared" si="46"/>
        <v>177</v>
      </c>
    </row>
    <row r="145" spans="1:18" s="41" customFormat="1" ht="20.25" x14ac:dyDescent="0.3">
      <c r="A145" s="35">
        <f t="shared" si="47"/>
        <v>138</v>
      </c>
      <c r="B145" s="36">
        <v>44014</v>
      </c>
      <c r="C145" s="36">
        <v>44033</v>
      </c>
      <c r="D145" s="37" t="s">
        <v>363</v>
      </c>
      <c r="E145" s="37" t="s">
        <v>303</v>
      </c>
      <c r="F145" s="38">
        <f t="shared" si="36"/>
        <v>0</v>
      </c>
      <c r="G145" s="38">
        <f t="shared" si="40"/>
        <v>0</v>
      </c>
      <c r="H145" s="35" t="s">
        <v>181</v>
      </c>
      <c r="I145" s="39">
        <v>100</v>
      </c>
      <c r="J145" s="31">
        <v>787.5</v>
      </c>
      <c r="K145" s="31">
        <v>0</v>
      </c>
      <c r="L145" s="31">
        <f>+J145+K145</f>
        <v>787.5</v>
      </c>
      <c r="M145" s="31">
        <f>$I145*$L145</f>
        <v>78750</v>
      </c>
      <c r="N145" s="31">
        <v>100</v>
      </c>
      <c r="O145" s="31">
        <f t="shared" si="39"/>
        <v>0</v>
      </c>
      <c r="P145" s="31">
        <f t="shared" si="41"/>
        <v>0</v>
      </c>
      <c r="Q145" s="35" t="s">
        <v>304</v>
      </c>
      <c r="R145" s="40" t="e">
        <f t="shared" si="46"/>
        <v>#DIV/0!</v>
      </c>
    </row>
    <row r="146" spans="1:18" s="41" customFormat="1" ht="20.25" x14ac:dyDescent="0.3">
      <c r="A146" s="35">
        <f t="shared" si="47"/>
        <v>139</v>
      </c>
      <c r="B146" s="36" t="s">
        <v>324</v>
      </c>
      <c r="C146" s="36" t="s">
        <v>325</v>
      </c>
      <c r="D146" s="37" t="s">
        <v>302</v>
      </c>
      <c r="E146" s="37" t="s">
        <v>303</v>
      </c>
      <c r="F146" s="38">
        <f t="shared" si="36"/>
        <v>0</v>
      </c>
      <c r="G146" s="38">
        <f t="shared" si="40"/>
        <v>0</v>
      </c>
      <c r="H146" s="35" t="s">
        <v>181</v>
      </c>
      <c r="I146" s="42">
        <v>30</v>
      </c>
      <c r="J146" s="31">
        <v>450</v>
      </c>
      <c r="K146" s="31">
        <v>0</v>
      </c>
      <c r="L146" s="31">
        <f t="shared" ref="L146" si="48">+J146+K146</f>
        <v>450</v>
      </c>
      <c r="M146" s="31">
        <f t="shared" si="44"/>
        <v>13500</v>
      </c>
      <c r="N146" s="31">
        <v>30</v>
      </c>
      <c r="O146" s="31">
        <f t="shared" si="39"/>
        <v>0</v>
      </c>
      <c r="P146" s="31">
        <f t="shared" si="41"/>
        <v>0</v>
      </c>
      <c r="Q146" s="35" t="s">
        <v>330</v>
      </c>
    </row>
    <row r="147" spans="1:18" s="19" customFormat="1" ht="20.25" x14ac:dyDescent="0.3">
      <c r="A147" s="6">
        <f t="shared" si="47"/>
        <v>140</v>
      </c>
      <c r="B147" s="13">
        <v>43252</v>
      </c>
      <c r="C147" s="13">
        <v>43319</v>
      </c>
      <c r="D147" s="14" t="s">
        <v>83</v>
      </c>
      <c r="E147" s="14" t="s">
        <v>196</v>
      </c>
      <c r="F147" s="15">
        <f t="shared" si="36"/>
        <v>22</v>
      </c>
      <c r="G147" s="15">
        <f t="shared" si="40"/>
        <v>3115.2</v>
      </c>
      <c r="H147" s="6" t="s">
        <v>169</v>
      </c>
      <c r="I147" s="16">
        <v>22</v>
      </c>
      <c r="J147" s="17">
        <v>120</v>
      </c>
      <c r="K147" s="17">
        <f t="shared" si="45"/>
        <v>21.599999999999998</v>
      </c>
      <c r="L147" s="17">
        <f t="shared" si="43"/>
        <v>141.6</v>
      </c>
      <c r="M147" s="17">
        <f t="shared" si="44"/>
        <v>3115.2</v>
      </c>
      <c r="N147" s="17"/>
      <c r="O147" s="17">
        <f t="shared" si="39"/>
        <v>22</v>
      </c>
      <c r="P147" s="17">
        <f t="shared" si="41"/>
        <v>3115.2</v>
      </c>
      <c r="Q147" s="6"/>
      <c r="R147" s="18">
        <f>P147/O147</f>
        <v>141.6</v>
      </c>
    </row>
    <row r="148" spans="1:18" s="41" customFormat="1" ht="20.25" x14ac:dyDescent="0.3">
      <c r="A148" s="35">
        <f t="shared" si="47"/>
        <v>141</v>
      </c>
      <c r="B148" s="36">
        <v>43609</v>
      </c>
      <c r="C148" s="36">
        <v>43612</v>
      </c>
      <c r="D148" s="37" t="s">
        <v>211</v>
      </c>
      <c r="E148" s="37" t="s">
        <v>450</v>
      </c>
      <c r="F148" s="38">
        <f t="shared" si="36"/>
        <v>23</v>
      </c>
      <c r="G148" s="38">
        <f t="shared" si="40"/>
        <v>1380</v>
      </c>
      <c r="H148" s="35" t="s">
        <v>169</v>
      </c>
      <c r="I148" s="63">
        <f>5+24</f>
        <v>29</v>
      </c>
      <c r="J148" s="31">
        <v>60</v>
      </c>
      <c r="K148" s="31">
        <v>0</v>
      </c>
      <c r="L148" s="31">
        <f t="shared" si="43"/>
        <v>60</v>
      </c>
      <c r="M148" s="31">
        <f t="shared" si="44"/>
        <v>1740</v>
      </c>
      <c r="N148" s="31">
        <f>5+1</f>
        <v>6</v>
      </c>
      <c r="O148" s="31">
        <f t="shared" si="39"/>
        <v>23</v>
      </c>
      <c r="P148" s="31">
        <f t="shared" si="41"/>
        <v>1380</v>
      </c>
      <c r="Q148" s="35" t="s">
        <v>210</v>
      </c>
      <c r="R148" s="40">
        <f>P148/O148</f>
        <v>60</v>
      </c>
    </row>
    <row r="149" spans="1:18" s="19" customFormat="1" ht="20.25" x14ac:dyDescent="0.3">
      <c r="A149" s="6">
        <f t="shared" si="47"/>
        <v>142</v>
      </c>
      <c r="B149" s="13" t="s">
        <v>369</v>
      </c>
      <c r="C149" s="13" t="s">
        <v>325</v>
      </c>
      <c r="D149" s="14" t="s">
        <v>197</v>
      </c>
      <c r="E149" s="14" t="s">
        <v>198</v>
      </c>
      <c r="F149" s="15">
        <f t="shared" si="36"/>
        <v>20</v>
      </c>
      <c r="G149" s="15">
        <f t="shared" si="40"/>
        <v>16520</v>
      </c>
      <c r="H149" s="6" t="s">
        <v>169</v>
      </c>
      <c r="I149" s="16">
        <v>40</v>
      </c>
      <c r="J149" s="17">
        <v>700</v>
      </c>
      <c r="K149" s="17">
        <f t="shared" ref="K149:K152" si="49">+J149*18%</f>
        <v>126</v>
      </c>
      <c r="L149" s="17">
        <f t="shared" si="43"/>
        <v>826</v>
      </c>
      <c r="M149" s="17">
        <f t="shared" si="44"/>
        <v>33040</v>
      </c>
      <c r="N149" s="17">
        <f>2+1+1+1+4+1+1+1+1+2+1+1+1+1+1</f>
        <v>20</v>
      </c>
      <c r="O149" s="17">
        <f t="shared" si="39"/>
        <v>20</v>
      </c>
      <c r="P149" s="17">
        <f t="shared" si="41"/>
        <v>16520</v>
      </c>
      <c r="Q149" s="6" t="s">
        <v>368</v>
      </c>
      <c r="R149" s="18"/>
    </row>
    <row r="150" spans="1:18" s="19" customFormat="1" ht="20.25" x14ac:dyDescent="0.3">
      <c r="A150" s="6">
        <f t="shared" si="47"/>
        <v>143</v>
      </c>
      <c r="B150" s="13" t="s">
        <v>369</v>
      </c>
      <c r="C150" s="13" t="s">
        <v>325</v>
      </c>
      <c r="D150" s="14" t="s">
        <v>233</v>
      </c>
      <c r="E150" s="14" t="s">
        <v>234</v>
      </c>
      <c r="F150" s="15">
        <f t="shared" si="36"/>
        <v>7</v>
      </c>
      <c r="G150" s="15">
        <f t="shared" si="40"/>
        <v>2065</v>
      </c>
      <c r="H150" s="6" t="s">
        <v>169</v>
      </c>
      <c r="I150" s="16">
        <v>20</v>
      </c>
      <c r="J150" s="17">
        <v>250</v>
      </c>
      <c r="K150" s="17">
        <f t="shared" si="49"/>
        <v>45</v>
      </c>
      <c r="L150" s="17">
        <f t="shared" si="43"/>
        <v>295</v>
      </c>
      <c r="M150" s="17">
        <f t="shared" si="44"/>
        <v>5900</v>
      </c>
      <c r="N150" s="17">
        <f>10+2+1</f>
        <v>13</v>
      </c>
      <c r="O150" s="17">
        <f t="shared" si="39"/>
        <v>7</v>
      </c>
      <c r="P150" s="17">
        <f t="shared" si="41"/>
        <v>2065</v>
      </c>
      <c r="Q150" s="6" t="s">
        <v>368</v>
      </c>
      <c r="R150" s="18"/>
    </row>
    <row r="151" spans="1:18" s="19" customFormat="1" ht="20.25" x14ac:dyDescent="0.3">
      <c r="A151" s="6">
        <f t="shared" si="47"/>
        <v>144</v>
      </c>
      <c r="B151" s="13" t="s">
        <v>324</v>
      </c>
      <c r="C151" s="13" t="s">
        <v>325</v>
      </c>
      <c r="D151" s="14" t="s">
        <v>359</v>
      </c>
      <c r="E151" s="14" t="s">
        <v>360</v>
      </c>
      <c r="F151" s="15">
        <f t="shared" si="36"/>
        <v>5</v>
      </c>
      <c r="G151" s="15">
        <f t="shared" si="40"/>
        <v>2572.4</v>
      </c>
      <c r="H151" s="6" t="s">
        <v>341</v>
      </c>
      <c r="I151" s="16">
        <v>5</v>
      </c>
      <c r="J151" s="17">
        <v>436</v>
      </c>
      <c r="K151" s="17">
        <f t="shared" si="49"/>
        <v>78.48</v>
      </c>
      <c r="L151" s="17">
        <f t="shared" si="43"/>
        <v>514.48</v>
      </c>
      <c r="M151" s="17">
        <f t="shared" si="44"/>
        <v>2572.4</v>
      </c>
      <c r="N151" s="17"/>
      <c r="O151" s="17">
        <f t="shared" si="39"/>
        <v>5</v>
      </c>
      <c r="P151" s="17">
        <f t="shared" si="41"/>
        <v>2572.4</v>
      </c>
      <c r="Q151" s="6" t="s">
        <v>330</v>
      </c>
      <c r="R151" s="18"/>
    </row>
    <row r="152" spans="1:18" s="19" customFormat="1" ht="20.25" x14ac:dyDescent="0.3">
      <c r="A152" s="6">
        <f t="shared" si="47"/>
        <v>145</v>
      </c>
      <c r="B152" s="13" t="s">
        <v>324</v>
      </c>
      <c r="C152" s="13" t="s">
        <v>325</v>
      </c>
      <c r="D152" s="14" t="s">
        <v>308</v>
      </c>
      <c r="E152" s="14" t="s">
        <v>361</v>
      </c>
      <c r="F152" s="15">
        <f t="shared" si="36"/>
        <v>12</v>
      </c>
      <c r="G152" s="15">
        <f t="shared" si="40"/>
        <v>29311.199999999997</v>
      </c>
      <c r="H152" s="6" t="s">
        <v>341</v>
      </c>
      <c r="I152" s="16">
        <v>12</v>
      </c>
      <c r="J152" s="17">
        <v>2070</v>
      </c>
      <c r="K152" s="17">
        <f t="shared" si="49"/>
        <v>372.59999999999997</v>
      </c>
      <c r="L152" s="17">
        <f t="shared" si="43"/>
        <v>2442.6</v>
      </c>
      <c r="M152" s="17">
        <f t="shared" si="44"/>
        <v>29311.199999999997</v>
      </c>
      <c r="N152" s="17"/>
      <c r="O152" s="17">
        <f t="shared" si="39"/>
        <v>12</v>
      </c>
      <c r="P152" s="17">
        <f t="shared" si="41"/>
        <v>29311.199999999997</v>
      </c>
      <c r="Q152" s="6" t="s">
        <v>330</v>
      </c>
      <c r="R152" s="18"/>
    </row>
    <row r="153" spans="1:18" s="19" customFormat="1" ht="20.25" x14ac:dyDescent="0.3">
      <c r="A153" s="6">
        <f t="shared" si="47"/>
        <v>146</v>
      </c>
      <c r="B153" s="13">
        <v>43252</v>
      </c>
      <c r="C153" s="13">
        <v>43252</v>
      </c>
      <c r="D153" s="14" t="s">
        <v>90</v>
      </c>
      <c r="E153" s="14" t="s">
        <v>91</v>
      </c>
      <c r="F153" s="15">
        <f t="shared" si="36"/>
        <v>4</v>
      </c>
      <c r="G153" s="15">
        <f t="shared" si="40"/>
        <v>7405.68</v>
      </c>
      <c r="H153" s="6" t="s">
        <v>199</v>
      </c>
      <c r="I153" s="16">
        <v>4</v>
      </c>
      <c r="J153" s="17">
        <v>1569</v>
      </c>
      <c r="K153" s="17">
        <f t="shared" si="45"/>
        <v>282.42</v>
      </c>
      <c r="L153" s="17">
        <f t="shared" si="43"/>
        <v>1851.42</v>
      </c>
      <c r="M153" s="17">
        <f t="shared" si="44"/>
        <v>7405.68</v>
      </c>
      <c r="N153" s="17"/>
      <c r="O153" s="17">
        <f t="shared" si="39"/>
        <v>4</v>
      </c>
      <c r="P153" s="17">
        <f t="shared" si="41"/>
        <v>7405.68</v>
      </c>
      <c r="Q153" s="6"/>
      <c r="R153" s="18">
        <f>P153/O153</f>
        <v>1851.42</v>
      </c>
    </row>
    <row r="154" spans="1:18" s="19" customFormat="1" ht="20.25" x14ac:dyDescent="0.3">
      <c r="A154" s="6">
        <f>A153+1</f>
        <v>147</v>
      </c>
      <c r="B154" s="13" t="s">
        <v>369</v>
      </c>
      <c r="C154" s="13" t="s">
        <v>325</v>
      </c>
      <c r="D154" s="14" t="s">
        <v>92</v>
      </c>
      <c r="E154" s="61" t="s">
        <v>367</v>
      </c>
      <c r="F154" s="15">
        <f t="shared" si="36"/>
        <v>41</v>
      </c>
      <c r="G154" s="15">
        <f t="shared" si="40"/>
        <v>8224.6</v>
      </c>
      <c r="H154" s="6" t="s">
        <v>169</v>
      </c>
      <c r="I154" s="62">
        <f>110+50+10</f>
        <v>170</v>
      </c>
      <c r="J154" s="17">
        <v>170</v>
      </c>
      <c r="K154" s="17">
        <f>+J154*18%</f>
        <v>30.599999999999998</v>
      </c>
      <c r="L154" s="17">
        <f>+J154+K154</f>
        <v>200.6</v>
      </c>
      <c r="M154" s="17">
        <f>$I154*$L154</f>
        <v>34102</v>
      </c>
      <c r="N154" s="17">
        <f>1+4+3+2+6+10+1+3+2+2+34+2+6+3+1+1+1+2+2+1+1+1+1+2+1+1+1+2+1+2+2+2+2+1+1+2+1+1+2+2+3+1+1+1+1+1+1+1+3</f>
        <v>129</v>
      </c>
      <c r="O154" s="17">
        <f t="shared" si="39"/>
        <v>41</v>
      </c>
      <c r="P154" s="17">
        <f t="shared" si="41"/>
        <v>8224.6</v>
      </c>
      <c r="Q154" s="6" t="s">
        <v>368</v>
      </c>
      <c r="R154" s="18"/>
    </row>
    <row r="155" spans="1:18" s="19" customFormat="1" ht="20.25" x14ac:dyDescent="0.3">
      <c r="A155" s="6">
        <f t="shared" si="47"/>
        <v>148</v>
      </c>
      <c r="B155" s="13">
        <v>43252</v>
      </c>
      <c r="C155" s="13">
        <v>43253</v>
      </c>
      <c r="D155" s="14" t="s">
        <v>94</v>
      </c>
      <c r="E155" s="14" t="s">
        <v>95</v>
      </c>
      <c r="F155" s="15">
        <f t="shared" si="36"/>
        <v>0</v>
      </c>
      <c r="G155" s="15">
        <f t="shared" si="40"/>
        <v>0</v>
      </c>
      <c r="H155" s="6" t="s">
        <v>200</v>
      </c>
      <c r="I155" s="16">
        <v>2</v>
      </c>
      <c r="J155" s="17">
        <v>2200</v>
      </c>
      <c r="K155" s="17">
        <f t="shared" si="45"/>
        <v>396</v>
      </c>
      <c r="L155" s="17">
        <f t="shared" ref="L155:L214" si="50">+J155+K155</f>
        <v>2596</v>
      </c>
      <c r="M155" s="17">
        <f t="shared" ref="M155:M218" si="51">$I155*$L155</f>
        <v>5192</v>
      </c>
      <c r="N155" s="17">
        <f>1+1</f>
        <v>2</v>
      </c>
      <c r="O155" s="31">
        <f t="shared" si="39"/>
        <v>0</v>
      </c>
      <c r="P155" s="17">
        <f t="shared" si="41"/>
        <v>0</v>
      </c>
      <c r="Q155" s="6"/>
      <c r="R155" s="18" t="e">
        <f>P155/O155</f>
        <v>#DIV/0!</v>
      </c>
    </row>
    <row r="156" spans="1:18" s="19" customFormat="1" ht="20.25" x14ac:dyDescent="0.3">
      <c r="A156" s="6">
        <f t="shared" si="47"/>
        <v>149</v>
      </c>
      <c r="B156" s="13">
        <v>43252</v>
      </c>
      <c r="C156" s="13">
        <v>43253</v>
      </c>
      <c r="D156" s="14" t="s">
        <v>93</v>
      </c>
      <c r="E156" s="14" t="s">
        <v>96</v>
      </c>
      <c r="F156" s="15">
        <f t="shared" si="36"/>
        <v>1</v>
      </c>
      <c r="G156" s="15">
        <f t="shared" si="40"/>
        <v>1572.35</v>
      </c>
      <c r="H156" s="6" t="s">
        <v>169</v>
      </c>
      <c r="I156" s="16">
        <v>1</v>
      </c>
      <c r="J156" s="17">
        <v>1332.5</v>
      </c>
      <c r="K156" s="17">
        <f t="shared" si="45"/>
        <v>239.85</v>
      </c>
      <c r="L156" s="17">
        <f t="shared" si="50"/>
        <v>1572.35</v>
      </c>
      <c r="M156" s="17">
        <f t="shared" si="51"/>
        <v>1572.35</v>
      </c>
      <c r="N156" s="17"/>
      <c r="O156" s="31">
        <f t="shared" si="39"/>
        <v>1</v>
      </c>
      <c r="P156" s="17">
        <f t="shared" si="41"/>
        <v>1572.35</v>
      </c>
      <c r="Q156" s="6"/>
      <c r="R156" s="18">
        <f>P156/O156</f>
        <v>1572.35</v>
      </c>
    </row>
    <row r="157" spans="1:18" s="19" customFormat="1" ht="20.25" x14ac:dyDescent="0.3">
      <c r="A157" s="6">
        <f t="shared" si="47"/>
        <v>150</v>
      </c>
      <c r="B157" s="13">
        <v>43252</v>
      </c>
      <c r="C157" s="13">
        <v>43253</v>
      </c>
      <c r="D157" s="14" t="s">
        <v>97</v>
      </c>
      <c r="E157" s="14" t="s">
        <v>98</v>
      </c>
      <c r="F157" s="15">
        <f t="shared" si="36"/>
        <v>1</v>
      </c>
      <c r="G157" s="15">
        <f t="shared" si="40"/>
        <v>973.5</v>
      </c>
      <c r="H157" s="6" t="s">
        <v>169</v>
      </c>
      <c r="I157" s="16">
        <v>4</v>
      </c>
      <c r="J157" s="17">
        <v>825</v>
      </c>
      <c r="K157" s="17">
        <f t="shared" si="45"/>
        <v>148.5</v>
      </c>
      <c r="L157" s="17">
        <f t="shared" si="50"/>
        <v>973.5</v>
      </c>
      <c r="M157" s="17">
        <f t="shared" si="51"/>
        <v>3894</v>
      </c>
      <c r="N157" s="17">
        <f>2+1</f>
        <v>3</v>
      </c>
      <c r="O157" s="31">
        <f t="shared" si="39"/>
        <v>1</v>
      </c>
      <c r="P157" s="17">
        <f t="shared" si="41"/>
        <v>973.5</v>
      </c>
      <c r="Q157" s="6"/>
      <c r="R157" s="18">
        <f>P157/O157</f>
        <v>973.5</v>
      </c>
    </row>
    <row r="158" spans="1:18" s="19" customFormat="1" ht="20.25" x14ac:dyDescent="0.3">
      <c r="A158" s="6">
        <f t="shared" si="47"/>
        <v>151</v>
      </c>
      <c r="B158" s="13">
        <v>44162</v>
      </c>
      <c r="C158" s="13">
        <v>44187</v>
      </c>
      <c r="D158" s="14" t="s">
        <v>417</v>
      </c>
      <c r="E158" s="14" t="s">
        <v>419</v>
      </c>
      <c r="F158" s="15">
        <f t="shared" si="36"/>
        <v>45</v>
      </c>
      <c r="G158" s="15">
        <f t="shared" si="40"/>
        <v>2655</v>
      </c>
      <c r="H158" s="6" t="s">
        <v>169</v>
      </c>
      <c r="I158" s="16">
        <v>80</v>
      </c>
      <c r="J158" s="17">
        <v>50</v>
      </c>
      <c r="K158" s="17">
        <f t="shared" si="45"/>
        <v>9</v>
      </c>
      <c r="L158" s="17">
        <f t="shared" si="50"/>
        <v>59</v>
      </c>
      <c r="M158" s="17">
        <f t="shared" si="51"/>
        <v>4720</v>
      </c>
      <c r="N158" s="17">
        <f>2+4+4+1+1+2+1+2+2+1+4+3+4+4</f>
        <v>35</v>
      </c>
      <c r="O158" s="17">
        <f>$I158-$N158</f>
        <v>45</v>
      </c>
      <c r="P158" s="17">
        <f t="shared" si="41"/>
        <v>2655</v>
      </c>
      <c r="Q158" s="6" t="s">
        <v>368</v>
      </c>
      <c r="R158" s="18"/>
    </row>
    <row r="159" spans="1:18" s="19" customFormat="1" ht="20.25" x14ac:dyDescent="0.3">
      <c r="A159" s="6">
        <f t="shared" si="47"/>
        <v>152</v>
      </c>
      <c r="B159" s="13">
        <v>44162</v>
      </c>
      <c r="C159" s="13">
        <v>44187</v>
      </c>
      <c r="D159" s="14" t="s">
        <v>418</v>
      </c>
      <c r="E159" s="14" t="s">
        <v>420</v>
      </c>
      <c r="F159" s="15">
        <f t="shared" si="36"/>
        <v>53</v>
      </c>
      <c r="G159" s="15">
        <f t="shared" si="40"/>
        <v>2939.38</v>
      </c>
      <c r="H159" s="6" t="s">
        <v>169</v>
      </c>
      <c r="I159" s="16">
        <v>80</v>
      </c>
      <c r="J159" s="17">
        <v>47</v>
      </c>
      <c r="K159" s="17">
        <f t="shared" si="45"/>
        <v>8.4599999999999991</v>
      </c>
      <c r="L159" s="17">
        <f t="shared" si="50"/>
        <v>55.46</v>
      </c>
      <c r="M159" s="17">
        <f t="shared" si="51"/>
        <v>4436.8</v>
      </c>
      <c r="N159" s="17">
        <f>2+1+2+1+6+1+4+8+2</f>
        <v>27</v>
      </c>
      <c r="O159" s="17">
        <f t="shared" si="39"/>
        <v>53</v>
      </c>
      <c r="P159" s="17">
        <f t="shared" si="41"/>
        <v>2939.38</v>
      </c>
      <c r="Q159" s="6" t="s">
        <v>368</v>
      </c>
      <c r="R159" s="18"/>
    </row>
    <row r="160" spans="1:18" s="19" customFormat="1" ht="20.25" x14ac:dyDescent="0.3">
      <c r="A160" s="6">
        <f t="shared" si="47"/>
        <v>153</v>
      </c>
      <c r="B160" s="13">
        <v>43252</v>
      </c>
      <c r="C160" s="13">
        <v>43254</v>
      </c>
      <c r="D160" s="14" t="s">
        <v>99</v>
      </c>
      <c r="E160" s="14" t="s">
        <v>100</v>
      </c>
      <c r="F160" s="15">
        <f t="shared" si="36"/>
        <v>6</v>
      </c>
      <c r="G160" s="15">
        <f t="shared" si="40"/>
        <v>3345.2999999999997</v>
      </c>
      <c r="H160" s="6" t="s">
        <v>169</v>
      </c>
      <c r="I160" s="16">
        <v>10</v>
      </c>
      <c r="J160" s="17">
        <v>472.5</v>
      </c>
      <c r="K160" s="17">
        <f t="shared" si="45"/>
        <v>85.05</v>
      </c>
      <c r="L160" s="17">
        <f t="shared" si="50"/>
        <v>557.54999999999995</v>
      </c>
      <c r="M160" s="17">
        <f t="shared" si="51"/>
        <v>5575.5</v>
      </c>
      <c r="N160" s="17">
        <f>1+1+2</f>
        <v>4</v>
      </c>
      <c r="O160" s="17">
        <f t="shared" si="39"/>
        <v>6</v>
      </c>
      <c r="P160" s="17">
        <f t="shared" si="41"/>
        <v>3345.2999999999997</v>
      </c>
      <c r="Q160" s="6"/>
      <c r="R160" s="18">
        <f>P160/O160</f>
        <v>557.54999999999995</v>
      </c>
    </row>
    <row r="161" spans="1:18" s="19" customFormat="1" ht="20.25" x14ac:dyDescent="0.3">
      <c r="A161" s="6">
        <f t="shared" si="47"/>
        <v>154</v>
      </c>
      <c r="B161" s="13">
        <v>43252</v>
      </c>
      <c r="C161" s="13">
        <v>43254</v>
      </c>
      <c r="D161" s="14" t="s">
        <v>101</v>
      </c>
      <c r="E161" s="14" t="s">
        <v>102</v>
      </c>
      <c r="F161" s="15">
        <f t="shared" si="36"/>
        <v>4</v>
      </c>
      <c r="G161" s="15">
        <f t="shared" si="40"/>
        <v>372.88</v>
      </c>
      <c r="H161" s="6" t="s">
        <v>169</v>
      </c>
      <c r="I161" s="16">
        <v>5</v>
      </c>
      <c r="J161" s="17">
        <v>79</v>
      </c>
      <c r="K161" s="17">
        <f t="shared" si="45"/>
        <v>14.219999999999999</v>
      </c>
      <c r="L161" s="17">
        <f t="shared" si="50"/>
        <v>93.22</v>
      </c>
      <c r="M161" s="17">
        <f t="shared" si="51"/>
        <v>466.1</v>
      </c>
      <c r="N161" s="17">
        <v>1</v>
      </c>
      <c r="O161" s="17">
        <f t="shared" si="39"/>
        <v>4</v>
      </c>
      <c r="P161" s="17">
        <f t="shared" si="41"/>
        <v>372.88</v>
      </c>
      <c r="Q161" s="6"/>
      <c r="R161" s="18">
        <f>P161/O161</f>
        <v>93.22</v>
      </c>
    </row>
    <row r="162" spans="1:18" s="19" customFormat="1" ht="20.25" x14ac:dyDescent="0.3">
      <c r="A162" s="6">
        <f t="shared" si="47"/>
        <v>155</v>
      </c>
      <c r="B162" s="13">
        <v>43609</v>
      </c>
      <c r="C162" s="13">
        <v>43612</v>
      </c>
      <c r="D162" s="14" t="s">
        <v>237</v>
      </c>
      <c r="E162" s="14" t="s">
        <v>238</v>
      </c>
      <c r="F162" s="15">
        <f t="shared" si="36"/>
        <v>1</v>
      </c>
      <c r="G162" s="15">
        <f t="shared" si="40"/>
        <v>177</v>
      </c>
      <c r="H162" s="6" t="s">
        <v>169</v>
      </c>
      <c r="I162" s="16">
        <v>5</v>
      </c>
      <c r="J162" s="17">
        <v>150</v>
      </c>
      <c r="K162" s="17">
        <f t="shared" si="45"/>
        <v>27</v>
      </c>
      <c r="L162" s="17">
        <f t="shared" si="50"/>
        <v>177</v>
      </c>
      <c r="M162" s="17">
        <f t="shared" si="51"/>
        <v>885</v>
      </c>
      <c r="N162" s="17">
        <f>1+1+1+1</f>
        <v>4</v>
      </c>
      <c r="O162" s="31">
        <f t="shared" si="39"/>
        <v>1</v>
      </c>
      <c r="P162" s="17">
        <f t="shared" si="41"/>
        <v>177</v>
      </c>
      <c r="Q162" s="6" t="s">
        <v>210</v>
      </c>
      <c r="R162" s="18">
        <f>P162/O162</f>
        <v>177</v>
      </c>
    </row>
    <row r="163" spans="1:18" s="19" customFormat="1" ht="20.25" x14ac:dyDescent="0.3">
      <c r="A163" s="6">
        <f t="shared" si="47"/>
        <v>156</v>
      </c>
      <c r="B163" s="13">
        <v>44162</v>
      </c>
      <c r="C163" s="13">
        <v>44187</v>
      </c>
      <c r="D163" s="14" t="s">
        <v>237</v>
      </c>
      <c r="E163" s="14" t="s">
        <v>427</v>
      </c>
      <c r="F163" s="15">
        <f t="shared" si="36"/>
        <v>2</v>
      </c>
      <c r="G163" s="15">
        <f t="shared" si="40"/>
        <v>200.6</v>
      </c>
      <c r="H163" s="6" t="s">
        <v>169</v>
      </c>
      <c r="I163" s="16">
        <v>5</v>
      </c>
      <c r="J163" s="17">
        <v>85</v>
      </c>
      <c r="K163" s="17">
        <f t="shared" si="45"/>
        <v>15.299999999999999</v>
      </c>
      <c r="L163" s="17">
        <f t="shared" si="50"/>
        <v>100.3</v>
      </c>
      <c r="M163" s="17">
        <f>$I163*$L163</f>
        <v>501.5</v>
      </c>
      <c r="N163" s="17">
        <v>3</v>
      </c>
      <c r="O163" s="17">
        <f t="shared" si="39"/>
        <v>2</v>
      </c>
      <c r="P163" s="17">
        <f t="shared" si="41"/>
        <v>200.6</v>
      </c>
      <c r="Q163" s="6" t="s">
        <v>368</v>
      </c>
      <c r="R163" s="18"/>
    </row>
    <row r="164" spans="1:18" s="19" customFormat="1" ht="20.25" x14ac:dyDescent="0.3">
      <c r="A164" s="6">
        <f t="shared" si="47"/>
        <v>157</v>
      </c>
      <c r="B164" s="13">
        <v>43609</v>
      </c>
      <c r="C164" s="13">
        <v>43612</v>
      </c>
      <c r="D164" s="14" t="s">
        <v>222</v>
      </c>
      <c r="E164" s="14" t="s">
        <v>223</v>
      </c>
      <c r="F164" s="15">
        <f t="shared" si="36"/>
        <v>7</v>
      </c>
      <c r="G164" s="15">
        <f t="shared" si="40"/>
        <v>1239</v>
      </c>
      <c r="H164" s="6" t="s">
        <v>169</v>
      </c>
      <c r="I164" s="16">
        <v>10</v>
      </c>
      <c r="J164" s="17">
        <v>150</v>
      </c>
      <c r="K164" s="17">
        <f t="shared" si="45"/>
        <v>27</v>
      </c>
      <c r="L164" s="17">
        <f t="shared" si="50"/>
        <v>177</v>
      </c>
      <c r="M164" s="17">
        <f t="shared" si="51"/>
        <v>1770</v>
      </c>
      <c r="N164" s="17">
        <f>1+1+1</f>
        <v>3</v>
      </c>
      <c r="O164" s="17">
        <f t="shared" si="39"/>
        <v>7</v>
      </c>
      <c r="P164" s="17">
        <f t="shared" si="41"/>
        <v>1239</v>
      </c>
      <c r="Q164" s="6" t="s">
        <v>210</v>
      </c>
      <c r="R164" s="18">
        <f t="shared" ref="R164:R172" si="52">P164/O164</f>
        <v>177</v>
      </c>
    </row>
    <row r="165" spans="1:18" s="19" customFormat="1" ht="20.25" x14ac:dyDescent="0.3">
      <c r="A165" s="6">
        <f t="shared" si="47"/>
        <v>158</v>
      </c>
      <c r="B165" s="13">
        <v>43318</v>
      </c>
      <c r="C165" s="13">
        <v>43319</v>
      </c>
      <c r="D165" s="14" t="s">
        <v>103</v>
      </c>
      <c r="E165" s="14" t="s">
        <v>104</v>
      </c>
      <c r="F165" s="15">
        <f t="shared" si="36"/>
        <v>82</v>
      </c>
      <c r="G165" s="15">
        <f t="shared" si="40"/>
        <v>26415.48</v>
      </c>
      <c r="H165" s="6" t="s">
        <v>169</v>
      </c>
      <c r="I165" s="16">
        <v>702</v>
      </c>
      <c r="J165" s="17">
        <v>273</v>
      </c>
      <c r="K165" s="17">
        <f t="shared" si="45"/>
        <v>49.14</v>
      </c>
      <c r="L165" s="17">
        <f t="shared" si="50"/>
        <v>322.14</v>
      </c>
      <c r="M165" s="17">
        <f t="shared" si="51"/>
        <v>226142.28</v>
      </c>
      <c r="N165" s="17">
        <f>443+2+1+20+2+6+2+20+30+10+20+2+38+2+6+10+3+2+1</f>
        <v>620</v>
      </c>
      <c r="O165" s="17">
        <f>$I165-$N165</f>
        <v>82</v>
      </c>
      <c r="P165" s="17">
        <f t="shared" si="41"/>
        <v>26415.48</v>
      </c>
      <c r="Q165" s="6"/>
      <c r="R165" s="18">
        <f t="shared" si="52"/>
        <v>322.14</v>
      </c>
    </row>
    <row r="166" spans="1:18" s="19" customFormat="1" ht="20.25" x14ac:dyDescent="0.3">
      <c r="A166" s="6">
        <f t="shared" si="47"/>
        <v>159</v>
      </c>
      <c r="B166" s="13">
        <v>43252</v>
      </c>
      <c r="C166" s="13">
        <v>43253</v>
      </c>
      <c r="D166" s="14" t="s">
        <v>109</v>
      </c>
      <c r="E166" s="14" t="s">
        <v>110</v>
      </c>
      <c r="F166" s="15">
        <f t="shared" si="36"/>
        <v>0</v>
      </c>
      <c r="G166" s="15">
        <f t="shared" si="40"/>
        <v>0</v>
      </c>
      <c r="H166" s="6" t="s">
        <v>169</v>
      </c>
      <c r="I166" s="16">
        <v>24</v>
      </c>
      <c r="J166" s="17">
        <v>375</v>
      </c>
      <c r="K166" s="17">
        <f t="shared" si="45"/>
        <v>67.5</v>
      </c>
      <c r="L166" s="17">
        <f t="shared" si="50"/>
        <v>442.5</v>
      </c>
      <c r="M166" s="17">
        <f t="shared" si="51"/>
        <v>10620</v>
      </c>
      <c r="N166" s="17">
        <f>5+6+3+1+2+1+2+4</f>
        <v>24</v>
      </c>
      <c r="O166" s="17">
        <f>$I166-$N166</f>
        <v>0</v>
      </c>
      <c r="P166" s="17">
        <f t="shared" si="41"/>
        <v>0</v>
      </c>
      <c r="Q166" s="6"/>
      <c r="R166" s="18" t="e">
        <f t="shared" si="52"/>
        <v>#DIV/0!</v>
      </c>
    </row>
    <row r="167" spans="1:18" s="19" customFormat="1" ht="20.25" x14ac:dyDescent="0.3">
      <c r="A167" s="6">
        <f t="shared" si="47"/>
        <v>160</v>
      </c>
      <c r="B167" s="13">
        <v>43609</v>
      </c>
      <c r="C167" s="13">
        <v>43612</v>
      </c>
      <c r="D167" s="14" t="s">
        <v>109</v>
      </c>
      <c r="E167" s="14" t="s">
        <v>245</v>
      </c>
      <c r="F167" s="15">
        <f t="shared" si="36"/>
        <v>2</v>
      </c>
      <c r="G167" s="15">
        <f t="shared" si="40"/>
        <v>708</v>
      </c>
      <c r="H167" s="6" t="s">
        <v>169</v>
      </c>
      <c r="I167" s="16">
        <v>8</v>
      </c>
      <c r="J167" s="17">
        <v>300</v>
      </c>
      <c r="K167" s="17">
        <f>+J167*18%</f>
        <v>54</v>
      </c>
      <c r="L167" s="17">
        <f>+J167+K167</f>
        <v>354</v>
      </c>
      <c r="M167" s="17">
        <f t="shared" si="51"/>
        <v>2832</v>
      </c>
      <c r="N167" s="17">
        <f>1+2+3</f>
        <v>6</v>
      </c>
      <c r="O167" s="17">
        <f t="shared" si="39"/>
        <v>2</v>
      </c>
      <c r="P167" s="17">
        <f t="shared" si="41"/>
        <v>708</v>
      </c>
      <c r="Q167" s="6" t="s">
        <v>210</v>
      </c>
      <c r="R167" s="18">
        <f t="shared" si="52"/>
        <v>354</v>
      </c>
    </row>
    <row r="168" spans="1:18" s="19" customFormat="1" ht="20.25" x14ac:dyDescent="0.3">
      <c r="A168" s="6">
        <f t="shared" si="47"/>
        <v>161</v>
      </c>
      <c r="B168" s="13">
        <v>43609</v>
      </c>
      <c r="C168" s="13">
        <v>43612</v>
      </c>
      <c r="D168" s="14" t="s">
        <v>111</v>
      </c>
      <c r="E168" s="14" t="s">
        <v>227</v>
      </c>
      <c r="F168" s="15">
        <f t="shared" si="36"/>
        <v>0</v>
      </c>
      <c r="G168" s="15">
        <f t="shared" si="40"/>
        <v>0</v>
      </c>
      <c r="H168" s="6" t="s">
        <v>169</v>
      </c>
      <c r="I168" s="16">
        <v>10</v>
      </c>
      <c r="J168" s="17">
        <v>450</v>
      </c>
      <c r="K168" s="17">
        <f>+J168*18%</f>
        <v>81</v>
      </c>
      <c r="L168" s="17">
        <f>+J168+K168</f>
        <v>531</v>
      </c>
      <c r="M168" s="17">
        <f t="shared" si="51"/>
        <v>5310</v>
      </c>
      <c r="N168" s="17">
        <f>3+3+1+1+2</f>
        <v>10</v>
      </c>
      <c r="O168" s="31">
        <f>$I168-$N168</f>
        <v>0</v>
      </c>
      <c r="P168" s="17">
        <f t="shared" si="41"/>
        <v>0</v>
      </c>
      <c r="Q168" s="6" t="s">
        <v>210</v>
      </c>
      <c r="R168" s="18" t="e">
        <f t="shared" si="52"/>
        <v>#DIV/0!</v>
      </c>
    </row>
    <row r="169" spans="1:18" s="19" customFormat="1" ht="20.25" x14ac:dyDescent="0.3">
      <c r="A169" s="6">
        <f>A168+1</f>
        <v>162</v>
      </c>
      <c r="B169" s="13">
        <v>43830</v>
      </c>
      <c r="C169" s="13">
        <v>43859</v>
      </c>
      <c r="D169" s="14" t="s">
        <v>111</v>
      </c>
      <c r="E169" s="14" t="s">
        <v>246</v>
      </c>
      <c r="F169" s="15">
        <f t="shared" si="36"/>
        <v>48</v>
      </c>
      <c r="G169" s="15">
        <f t="shared" si="40"/>
        <v>1824</v>
      </c>
      <c r="H169" s="6" t="s">
        <v>169</v>
      </c>
      <c r="I169" s="16">
        <f>36+60</f>
        <v>96</v>
      </c>
      <c r="J169" s="17">
        <f>38</f>
        <v>38</v>
      </c>
      <c r="K169" s="17">
        <v>0</v>
      </c>
      <c r="L169" s="17">
        <f t="shared" ref="L169:L178" si="53">+J169+K169</f>
        <v>38</v>
      </c>
      <c r="M169" s="17">
        <f t="shared" si="51"/>
        <v>3648</v>
      </c>
      <c r="N169" s="17">
        <f>3+4+1+3+1+2+3+3+1+6+4+1+4+12</f>
        <v>48</v>
      </c>
      <c r="O169" s="31">
        <f t="shared" si="39"/>
        <v>48</v>
      </c>
      <c r="P169" s="17">
        <f t="shared" si="41"/>
        <v>1824</v>
      </c>
      <c r="Q169" s="6" t="s">
        <v>260</v>
      </c>
      <c r="R169" s="18">
        <f t="shared" si="52"/>
        <v>38</v>
      </c>
    </row>
    <row r="170" spans="1:18" s="19" customFormat="1" ht="20.25" x14ac:dyDescent="0.3">
      <c r="A170" s="6">
        <f t="shared" si="47"/>
        <v>163</v>
      </c>
      <c r="B170" s="13">
        <v>43609</v>
      </c>
      <c r="C170" s="13">
        <v>43612</v>
      </c>
      <c r="D170" s="14" t="s">
        <v>107</v>
      </c>
      <c r="E170" s="14" t="s">
        <v>108</v>
      </c>
      <c r="F170" s="15">
        <f t="shared" si="36"/>
        <v>22</v>
      </c>
      <c r="G170" s="15">
        <f t="shared" si="40"/>
        <v>5192</v>
      </c>
      <c r="H170" s="6" t="s">
        <v>169</v>
      </c>
      <c r="I170" s="16">
        <v>40</v>
      </c>
      <c r="J170" s="17">
        <v>200</v>
      </c>
      <c r="K170" s="17">
        <f t="shared" si="45"/>
        <v>36</v>
      </c>
      <c r="L170" s="17">
        <f t="shared" si="53"/>
        <v>236</v>
      </c>
      <c r="M170" s="17">
        <f t="shared" si="51"/>
        <v>9440</v>
      </c>
      <c r="N170" s="17">
        <f>1+3+6+1+5+1+1</f>
        <v>18</v>
      </c>
      <c r="O170" s="17">
        <f t="shared" si="39"/>
        <v>22</v>
      </c>
      <c r="P170" s="17">
        <f t="shared" si="41"/>
        <v>5192</v>
      </c>
      <c r="Q170" s="6" t="s">
        <v>210</v>
      </c>
      <c r="R170" s="18">
        <f t="shared" si="52"/>
        <v>236</v>
      </c>
    </row>
    <row r="171" spans="1:18" s="19" customFormat="1" ht="20.25" x14ac:dyDescent="0.3">
      <c r="A171" s="6">
        <f t="shared" si="47"/>
        <v>164</v>
      </c>
      <c r="B171" s="13">
        <v>43252</v>
      </c>
      <c r="C171" s="13">
        <v>43253</v>
      </c>
      <c r="D171" s="14" t="s">
        <v>105</v>
      </c>
      <c r="E171" s="14" t="s">
        <v>106</v>
      </c>
      <c r="F171" s="15">
        <f t="shared" si="36"/>
        <v>1</v>
      </c>
      <c r="G171" s="15">
        <f t="shared" si="40"/>
        <v>65.489999999999995</v>
      </c>
      <c r="H171" s="6" t="s">
        <v>169</v>
      </c>
      <c r="I171" s="16">
        <v>3</v>
      </c>
      <c r="J171" s="17">
        <v>55.5</v>
      </c>
      <c r="K171" s="17">
        <f t="shared" si="45"/>
        <v>9.99</v>
      </c>
      <c r="L171" s="17">
        <f t="shared" si="53"/>
        <v>65.489999999999995</v>
      </c>
      <c r="M171" s="17">
        <f t="shared" si="51"/>
        <v>196.46999999999997</v>
      </c>
      <c r="N171" s="17">
        <f>1+1</f>
        <v>2</v>
      </c>
      <c r="O171" s="31">
        <f t="shared" si="39"/>
        <v>1</v>
      </c>
      <c r="P171" s="17">
        <f t="shared" si="41"/>
        <v>65.489999999999995</v>
      </c>
      <c r="Q171" s="6"/>
      <c r="R171" s="18">
        <f t="shared" si="52"/>
        <v>65.489999999999995</v>
      </c>
    </row>
    <row r="172" spans="1:18" s="19" customFormat="1" ht="20.25" x14ac:dyDescent="0.3">
      <c r="A172" s="6">
        <f t="shared" si="47"/>
        <v>165</v>
      </c>
      <c r="B172" s="13">
        <v>43830</v>
      </c>
      <c r="C172" s="13">
        <v>43859</v>
      </c>
      <c r="D172" s="14" t="s">
        <v>109</v>
      </c>
      <c r="E172" s="14" t="s">
        <v>266</v>
      </c>
      <c r="F172" s="15">
        <f t="shared" si="36"/>
        <v>27</v>
      </c>
      <c r="G172" s="15">
        <f t="shared" si="40"/>
        <v>2025</v>
      </c>
      <c r="H172" s="6" t="s">
        <v>169</v>
      </c>
      <c r="I172" s="16">
        <v>40</v>
      </c>
      <c r="J172" s="17">
        <f>75</f>
        <v>75</v>
      </c>
      <c r="K172" s="17">
        <v>0</v>
      </c>
      <c r="L172" s="17">
        <f t="shared" si="53"/>
        <v>75</v>
      </c>
      <c r="M172" s="17">
        <f t="shared" si="51"/>
        <v>3000</v>
      </c>
      <c r="N172" s="17">
        <f>3+5+1+1+1+1+1</f>
        <v>13</v>
      </c>
      <c r="O172" s="17">
        <f t="shared" si="39"/>
        <v>27</v>
      </c>
      <c r="P172" s="17">
        <f t="shared" si="41"/>
        <v>2025</v>
      </c>
      <c r="Q172" s="6" t="s">
        <v>260</v>
      </c>
      <c r="R172" s="18">
        <f t="shared" si="52"/>
        <v>75</v>
      </c>
    </row>
    <row r="173" spans="1:18" s="19" customFormat="1" ht="20.25" x14ac:dyDescent="0.3">
      <c r="A173" s="6">
        <f t="shared" si="47"/>
        <v>166</v>
      </c>
      <c r="B173" s="13">
        <v>44162</v>
      </c>
      <c r="C173" s="13">
        <v>44187</v>
      </c>
      <c r="D173" s="14" t="s">
        <v>109</v>
      </c>
      <c r="E173" s="14" t="s">
        <v>245</v>
      </c>
      <c r="F173" s="15">
        <f t="shared" si="36"/>
        <v>60</v>
      </c>
      <c r="G173" s="15">
        <f t="shared" si="40"/>
        <v>1770</v>
      </c>
      <c r="H173" s="6" t="s">
        <v>169</v>
      </c>
      <c r="I173" s="16">
        <v>60</v>
      </c>
      <c r="J173" s="17">
        <v>25</v>
      </c>
      <c r="K173" s="17">
        <f t="shared" si="45"/>
        <v>4.5</v>
      </c>
      <c r="L173" s="17">
        <f t="shared" si="53"/>
        <v>29.5</v>
      </c>
      <c r="M173" s="17">
        <f>$I173*$L173</f>
        <v>1770</v>
      </c>
      <c r="N173" s="17">
        <v>0</v>
      </c>
      <c r="O173" s="17">
        <f t="shared" si="39"/>
        <v>60</v>
      </c>
      <c r="P173" s="17">
        <f t="shared" si="41"/>
        <v>1770</v>
      </c>
      <c r="Q173" s="6" t="s">
        <v>368</v>
      </c>
      <c r="R173" s="18"/>
    </row>
    <row r="174" spans="1:18" s="19" customFormat="1" ht="20.25" x14ac:dyDescent="0.3">
      <c r="A174" s="6">
        <f t="shared" si="47"/>
        <v>167</v>
      </c>
      <c r="B174" s="13">
        <v>44162</v>
      </c>
      <c r="C174" s="13">
        <v>44187</v>
      </c>
      <c r="D174" s="14" t="s">
        <v>111</v>
      </c>
      <c r="E174" s="14" t="s">
        <v>246</v>
      </c>
      <c r="F174" s="15">
        <f t="shared" si="36"/>
        <v>43</v>
      </c>
      <c r="G174" s="15">
        <f t="shared" si="40"/>
        <v>1268.5</v>
      </c>
      <c r="H174" s="6" t="s">
        <v>169</v>
      </c>
      <c r="I174" s="16">
        <v>60</v>
      </c>
      <c r="J174" s="17">
        <v>25</v>
      </c>
      <c r="K174" s="17">
        <f t="shared" si="45"/>
        <v>4.5</v>
      </c>
      <c r="L174" s="17">
        <f t="shared" si="53"/>
        <v>29.5</v>
      </c>
      <c r="M174" s="17">
        <f t="shared" si="51"/>
        <v>1770</v>
      </c>
      <c r="N174" s="17">
        <f>6+4+5+1+1</f>
        <v>17</v>
      </c>
      <c r="O174" s="17">
        <f t="shared" si="39"/>
        <v>43</v>
      </c>
      <c r="P174" s="17">
        <f t="shared" si="41"/>
        <v>1268.5</v>
      </c>
      <c r="Q174" s="6" t="s">
        <v>368</v>
      </c>
      <c r="R174" s="18"/>
    </row>
    <row r="175" spans="1:18" s="19" customFormat="1" ht="20.25" x14ac:dyDescent="0.3">
      <c r="A175" s="6">
        <f t="shared" si="47"/>
        <v>168</v>
      </c>
      <c r="B175" s="13">
        <v>44162</v>
      </c>
      <c r="C175" s="13">
        <v>44187</v>
      </c>
      <c r="D175" s="14" t="s">
        <v>107</v>
      </c>
      <c r="E175" s="14" t="s">
        <v>387</v>
      </c>
      <c r="F175" s="15">
        <f t="shared" si="36"/>
        <v>56</v>
      </c>
      <c r="G175" s="15">
        <f t="shared" si="40"/>
        <v>7268.8000000000011</v>
      </c>
      <c r="H175" s="6" t="s">
        <v>169</v>
      </c>
      <c r="I175" s="16">
        <v>60</v>
      </c>
      <c r="J175" s="17">
        <v>110</v>
      </c>
      <c r="K175" s="17">
        <f t="shared" si="45"/>
        <v>19.8</v>
      </c>
      <c r="L175" s="17">
        <f t="shared" si="53"/>
        <v>129.80000000000001</v>
      </c>
      <c r="M175" s="17">
        <f t="shared" si="51"/>
        <v>7788.0000000000009</v>
      </c>
      <c r="N175" s="17">
        <f>1+3</f>
        <v>4</v>
      </c>
      <c r="O175" s="17">
        <f t="shared" si="39"/>
        <v>56</v>
      </c>
      <c r="P175" s="17">
        <f t="shared" si="41"/>
        <v>7268.8000000000011</v>
      </c>
      <c r="Q175" s="6" t="s">
        <v>368</v>
      </c>
      <c r="R175" s="18"/>
    </row>
    <row r="176" spans="1:18" s="19" customFormat="1" ht="20.25" x14ac:dyDescent="0.3">
      <c r="A176" s="6">
        <f t="shared" si="47"/>
        <v>169</v>
      </c>
      <c r="B176" s="13">
        <v>43830</v>
      </c>
      <c r="C176" s="13">
        <v>43859</v>
      </c>
      <c r="D176" s="14" t="s">
        <v>112</v>
      </c>
      <c r="E176" s="14" t="s">
        <v>228</v>
      </c>
      <c r="F176" s="15">
        <f t="shared" si="36"/>
        <v>9</v>
      </c>
      <c r="G176" s="15">
        <f t="shared" si="40"/>
        <v>2790</v>
      </c>
      <c r="H176" s="6" t="s">
        <v>191</v>
      </c>
      <c r="I176" s="16">
        <v>30</v>
      </c>
      <c r="J176" s="17">
        <f>310</f>
        <v>310</v>
      </c>
      <c r="K176" s="17">
        <v>0</v>
      </c>
      <c r="L176" s="17">
        <f t="shared" si="53"/>
        <v>310</v>
      </c>
      <c r="M176" s="17">
        <f t="shared" si="51"/>
        <v>9300</v>
      </c>
      <c r="N176" s="17">
        <f>4+1+1+1+3+1+1+1+3+1+1+1+1+1</f>
        <v>21</v>
      </c>
      <c r="O176" s="17">
        <f t="shared" si="39"/>
        <v>9</v>
      </c>
      <c r="P176" s="17">
        <f t="shared" si="41"/>
        <v>2790</v>
      </c>
      <c r="Q176" s="6" t="s">
        <v>260</v>
      </c>
      <c r="R176" s="18">
        <f>P176/O176</f>
        <v>310</v>
      </c>
    </row>
    <row r="177" spans="1:18" s="19" customFormat="1" ht="20.25" x14ac:dyDescent="0.3">
      <c r="A177" s="6">
        <f t="shared" si="47"/>
        <v>170</v>
      </c>
      <c r="B177" s="13">
        <v>44162</v>
      </c>
      <c r="C177" s="13">
        <v>44187</v>
      </c>
      <c r="D177" s="14" t="s">
        <v>109</v>
      </c>
      <c r="E177" s="14" t="s">
        <v>228</v>
      </c>
      <c r="F177" s="15">
        <f t="shared" si="36"/>
        <v>70</v>
      </c>
      <c r="G177" s="15">
        <f t="shared" si="40"/>
        <v>16520</v>
      </c>
      <c r="H177" s="6" t="s">
        <v>169</v>
      </c>
      <c r="I177" s="16">
        <v>70</v>
      </c>
      <c r="J177" s="17">
        <v>200</v>
      </c>
      <c r="K177" s="17">
        <f t="shared" ref="K177" si="54">+J177*18%</f>
        <v>36</v>
      </c>
      <c r="L177" s="17">
        <f t="shared" si="53"/>
        <v>236</v>
      </c>
      <c r="M177" s="17">
        <f t="shared" si="51"/>
        <v>16520</v>
      </c>
      <c r="N177" s="17">
        <v>0</v>
      </c>
      <c r="O177" s="17">
        <f t="shared" si="39"/>
        <v>70</v>
      </c>
      <c r="P177" s="17">
        <f t="shared" si="41"/>
        <v>16520</v>
      </c>
      <c r="Q177" s="6" t="s">
        <v>368</v>
      </c>
      <c r="R177" s="18"/>
    </row>
    <row r="178" spans="1:18" s="19" customFormat="1" ht="23.25" customHeight="1" x14ac:dyDescent="0.3">
      <c r="A178" s="6">
        <f t="shared" si="47"/>
        <v>171</v>
      </c>
      <c r="B178" s="13">
        <v>43252</v>
      </c>
      <c r="C178" s="13">
        <v>43253</v>
      </c>
      <c r="D178" s="14" t="s">
        <v>113</v>
      </c>
      <c r="E178" s="21" t="s">
        <v>114</v>
      </c>
      <c r="F178" s="15">
        <f t="shared" si="36"/>
        <v>1</v>
      </c>
      <c r="G178" s="15">
        <f t="shared" si="40"/>
        <v>690.3</v>
      </c>
      <c r="H178" s="6" t="s">
        <v>169</v>
      </c>
      <c r="I178" s="16">
        <v>2</v>
      </c>
      <c r="J178" s="17">
        <v>585</v>
      </c>
      <c r="K178" s="17">
        <f>+J178*18%</f>
        <v>105.3</v>
      </c>
      <c r="L178" s="17">
        <f t="shared" si="53"/>
        <v>690.3</v>
      </c>
      <c r="M178" s="17">
        <f t="shared" si="51"/>
        <v>1380.6</v>
      </c>
      <c r="N178" s="17">
        <v>1</v>
      </c>
      <c r="O178" s="31">
        <f t="shared" si="39"/>
        <v>1</v>
      </c>
      <c r="P178" s="17">
        <f t="shared" si="41"/>
        <v>690.3</v>
      </c>
      <c r="Q178" s="6"/>
      <c r="R178" s="18">
        <f t="shared" ref="R178:R186" si="55">P178/O178</f>
        <v>690.3</v>
      </c>
    </row>
    <row r="179" spans="1:18" s="19" customFormat="1" ht="20.25" x14ac:dyDescent="0.3">
      <c r="A179" s="6">
        <f t="shared" si="47"/>
        <v>172</v>
      </c>
      <c r="B179" s="13">
        <v>43609</v>
      </c>
      <c r="C179" s="13">
        <v>43612</v>
      </c>
      <c r="D179" s="14" t="s">
        <v>113</v>
      </c>
      <c r="E179" s="21" t="s">
        <v>230</v>
      </c>
      <c r="F179" s="15">
        <f t="shared" si="36"/>
        <v>2</v>
      </c>
      <c r="G179" s="15">
        <f t="shared" si="40"/>
        <v>1298</v>
      </c>
      <c r="H179" s="6" t="s">
        <v>169</v>
      </c>
      <c r="I179" s="16">
        <v>2</v>
      </c>
      <c r="J179" s="17">
        <v>550</v>
      </c>
      <c r="K179" s="17">
        <f t="shared" si="45"/>
        <v>99</v>
      </c>
      <c r="L179" s="17">
        <f t="shared" si="50"/>
        <v>649</v>
      </c>
      <c r="M179" s="17">
        <f t="shared" si="51"/>
        <v>1298</v>
      </c>
      <c r="N179" s="17">
        <v>0</v>
      </c>
      <c r="O179" s="17">
        <f t="shared" si="39"/>
        <v>2</v>
      </c>
      <c r="P179" s="17">
        <f t="shared" si="41"/>
        <v>1298</v>
      </c>
      <c r="Q179" s="6" t="s">
        <v>210</v>
      </c>
      <c r="R179" s="18">
        <f t="shared" si="55"/>
        <v>649</v>
      </c>
    </row>
    <row r="180" spans="1:18" s="19" customFormat="1" ht="20.25" x14ac:dyDescent="0.3">
      <c r="A180" s="6">
        <f t="shared" si="47"/>
        <v>173</v>
      </c>
      <c r="B180" s="13">
        <v>43252</v>
      </c>
      <c r="C180" s="13">
        <v>43253</v>
      </c>
      <c r="D180" s="14" t="s">
        <v>115</v>
      </c>
      <c r="E180" s="14" t="s">
        <v>116</v>
      </c>
      <c r="F180" s="15">
        <f t="shared" si="36"/>
        <v>1</v>
      </c>
      <c r="G180" s="15">
        <f t="shared" si="40"/>
        <v>354</v>
      </c>
      <c r="H180" s="6" t="s">
        <v>169</v>
      </c>
      <c r="I180" s="16">
        <v>1</v>
      </c>
      <c r="J180" s="17">
        <v>300</v>
      </c>
      <c r="K180" s="17">
        <f t="shared" si="45"/>
        <v>54</v>
      </c>
      <c r="L180" s="17">
        <f t="shared" si="50"/>
        <v>354</v>
      </c>
      <c r="M180" s="17">
        <f t="shared" si="51"/>
        <v>354</v>
      </c>
      <c r="N180" s="17">
        <v>0</v>
      </c>
      <c r="O180" s="31">
        <f t="shared" si="39"/>
        <v>1</v>
      </c>
      <c r="P180" s="17">
        <f t="shared" si="41"/>
        <v>354</v>
      </c>
      <c r="Q180" s="6"/>
      <c r="R180" s="18">
        <f t="shared" si="55"/>
        <v>354</v>
      </c>
    </row>
    <row r="181" spans="1:18" s="19" customFormat="1" ht="20.25" x14ac:dyDescent="0.3">
      <c r="A181" s="6">
        <f t="shared" si="47"/>
        <v>174</v>
      </c>
      <c r="B181" s="13">
        <v>43609</v>
      </c>
      <c r="C181" s="13">
        <v>43612</v>
      </c>
      <c r="D181" s="14" t="s">
        <v>115</v>
      </c>
      <c r="E181" s="14" t="s">
        <v>235</v>
      </c>
      <c r="F181" s="15">
        <f t="shared" si="36"/>
        <v>1</v>
      </c>
      <c r="G181" s="15">
        <f t="shared" si="40"/>
        <v>354</v>
      </c>
      <c r="H181" s="6" t="s">
        <v>169</v>
      </c>
      <c r="I181" s="16">
        <v>1</v>
      </c>
      <c r="J181" s="17">
        <v>300</v>
      </c>
      <c r="K181" s="17">
        <f>+J181*18%</f>
        <v>54</v>
      </c>
      <c r="L181" s="17">
        <f>+J181+K181</f>
        <v>354</v>
      </c>
      <c r="M181" s="17">
        <f t="shared" si="51"/>
        <v>354</v>
      </c>
      <c r="N181" s="17">
        <v>0</v>
      </c>
      <c r="O181" s="31">
        <f t="shared" si="39"/>
        <v>1</v>
      </c>
      <c r="P181" s="17">
        <f t="shared" si="41"/>
        <v>354</v>
      </c>
      <c r="Q181" s="6" t="s">
        <v>210</v>
      </c>
      <c r="R181" s="18">
        <f t="shared" si="55"/>
        <v>354</v>
      </c>
    </row>
    <row r="182" spans="1:18" s="19" customFormat="1" ht="20.25" x14ac:dyDescent="0.3">
      <c r="A182" s="6">
        <f t="shared" si="47"/>
        <v>175</v>
      </c>
      <c r="B182" s="13">
        <v>43609</v>
      </c>
      <c r="C182" s="13">
        <v>43612</v>
      </c>
      <c r="D182" s="14" t="s">
        <v>117</v>
      </c>
      <c r="E182" s="14" t="s">
        <v>229</v>
      </c>
      <c r="F182" s="15">
        <f t="shared" si="36"/>
        <v>7</v>
      </c>
      <c r="G182" s="15">
        <f t="shared" si="40"/>
        <v>619.5</v>
      </c>
      <c r="H182" s="6" t="s">
        <v>169</v>
      </c>
      <c r="I182" s="16">
        <v>10</v>
      </c>
      <c r="J182" s="17">
        <v>75</v>
      </c>
      <c r="K182" s="17">
        <f t="shared" si="45"/>
        <v>13.5</v>
      </c>
      <c r="L182" s="17">
        <f t="shared" si="50"/>
        <v>88.5</v>
      </c>
      <c r="M182" s="17">
        <f t="shared" si="51"/>
        <v>885</v>
      </c>
      <c r="N182" s="17">
        <f>1+1+1</f>
        <v>3</v>
      </c>
      <c r="O182" s="17">
        <f t="shared" si="39"/>
        <v>7</v>
      </c>
      <c r="P182" s="17">
        <f t="shared" si="41"/>
        <v>619.5</v>
      </c>
      <c r="Q182" s="6" t="s">
        <v>210</v>
      </c>
      <c r="R182" s="18">
        <f t="shared" si="55"/>
        <v>88.5</v>
      </c>
    </row>
    <row r="183" spans="1:18" s="19" customFormat="1" ht="20.25" x14ac:dyDescent="0.3">
      <c r="A183" s="6">
        <f t="shared" si="47"/>
        <v>176</v>
      </c>
      <c r="B183" s="13" t="s">
        <v>369</v>
      </c>
      <c r="C183" s="13" t="s">
        <v>325</v>
      </c>
      <c r="D183" s="14" t="s">
        <v>423</v>
      </c>
      <c r="E183" s="14" t="s">
        <v>424</v>
      </c>
      <c r="F183" s="15">
        <f t="shared" si="36"/>
        <v>60</v>
      </c>
      <c r="G183" s="15">
        <f t="shared" si="40"/>
        <v>1571.7599999999998</v>
      </c>
      <c r="H183" s="6" t="s">
        <v>169</v>
      </c>
      <c r="I183" s="16">
        <v>60</v>
      </c>
      <c r="J183" s="17">
        <v>22.2</v>
      </c>
      <c r="K183" s="17">
        <f t="shared" si="45"/>
        <v>3.9959999999999996</v>
      </c>
      <c r="L183" s="17">
        <f t="shared" si="50"/>
        <v>26.195999999999998</v>
      </c>
      <c r="M183" s="17">
        <f t="shared" si="51"/>
        <v>1571.7599999999998</v>
      </c>
      <c r="N183" s="17">
        <v>0</v>
      </c>
      <c r="O183" s="17">
        <f t="shared" si="39"/>
        <v>60</v>
      </c>
      <c r="P183" s="17">
        <f t="shared" si="41"/>
        <v>1571.7599999999998</v>
      </c>
      <c r="Q183" s="6" t="s">
        <v>368</v>
      </c>
      <c r="R183" s="18">
        <f t="shared" si="55"/>
        <v>26.195999999999994</v>
      </c>
    </row>
    <row r="184" spans="1:18" s="19" customFormat="1" ht="20.25" x14ac:dyDescent="0.3">
      <c r="A184" s="6">
        <f t="shared" si="47"/>
        <v>177</v>
      </c>
      <c r="B184" s="13">
        <v>43252</v>
      </c>
      <c r="C184" s="13">
        <v>43253</v>
      </c>
      <c r="D184" s="14" t="s">
        <v>118</v>
      </c>
      <c r="E184" s="14" t="s">
        <v>321</v>
      </c>
      <c r="F184" s="15">
        <f t="shared" si="36"/>
        <v>1</v>
      </c>
      <c r="G184" s="15">
        <f t="shared" si="40"/>
        <v>82.6</v>
      </c>
      <c r="H184" s="6" t="s">
        <v>169</v>
      </c>
      <c r="I184" s="16">
        <v>16</v>
      </c>
      <c r="J184" s="17">
        <v>70</v>
      </c>
      <c r="K184" s="17">
        <f t="shared" si="45"/>
        <v>12.6</v>
      </c>
      <c r="L184" s="17">
        <f t="shared" si="50"/>
        <v>82.6</v>
      </c>
      <c r="M184" s="17">
        <f t="shared" si="51"/>
        <v>1321.6</v>
      </c>
      <c r="N184" s="17">
        <f>4+1+2+1+1+1+1+2+2</f>
        <v>15</v>
      </c>
      <c r="O184" s="31">
        <f>$I184-$N184</f>
        <v>1</v>
      </c>
      <c r="P184" s="17">
        <f t="shared" si="41"/>
        <v>82.6</v>
      </c>
      <c r="Q184" s="6"/>
      <c r="R184" s="18">
        <f t="shared" si="55"/>
        <v>82.6</v>
      </c>
    </row>
    <row r="185" spans="1:18" s="19" customFormat="1" ht="20.25" x14ac:dyDescent="0.3">
      <c r="A185" s="6">
        <f t="shared" si="47"/>
        <v>178</v>
      </c>
      <c r="B185" s="13">
        <v>43252</v>
      </c>
      <c r="C185" s="13">
        <v>43253</v>
      </c>
      <c r="D185" s="14" t="s">
        <v>122</v>
      </c>
      <c r="E185" s="14" t="s">
        <v>123</v>
      </c>
      <c r="F185" s="15">
        <f t="shared" si="36"/>
        <v>0</v>
      </c>
      <c r="G185" s="15">
        <f t="shared" si="40"/>
        <v>0</v>
      </c>
      <c r="H185" s="6" t="s">
        <v>169</v>
      </c>
      <c r="I185" s="16">
        <v>10</v>
      </c>
      <c r="J185" s="17">
        <v>70</v>
      </c>
      <c r="K185" s="17">
        <f t="shared" si="45"/>
        <v>12.6</v>
      </c>
      <c r="L185" s="17">
        <f t="shared" si="50"/>
        <v>82.6</v>
      </c>
      <c r="M185" s="17">
        <f t="shared" si="51"/>
        <v>826</v>
      </c>
      <c r="N185" s="17">
        <f>4+2+1+2+1</f>
        <v>10</v>
      </c>
      <c r="O185" s="31">
        <f t="shared" si="39"/>
        <v>0</v>
      </c>
      <c r="P185" s="17">
        <f t="shared" si="41"/>
        <v>0</v>
      </c>
      <c r="Q185" s="6"/>
      <c r="R185" s="18" t="e">
        <f t="shared" si="55"/>
        <v>#DIV/0!</v>
      </c>
    </row>
    <row r="186" spans="1:18" s="19" customFormat="1" ht="20.25" x14ac:dyDescent="0.3">
      <c r="A186" s="6">
        <f t="shared" si="47"/>
        <v>179</v>
      </c>
      <c r="B186" s="13" t="s">
        <v>369</v>
      </c>
      <c r="C186" s="13" t="s">
        <v>325</v>
      </c>
      <c r="D186" s="14" t="s">
        <v>122</v>
      </c>
      <c r="E186" s="14" t="s">
        <v>378</v>
      </c>
      <c r="F186" s="15">
        <f t="shared" ref="F186:F244" si="56">$I186-$N186</f>
        <v>60</v>
      </c>
      <c r="G186" s="15">
        <f t="shared" si="40"/>
        <v>1571.7599999999998</v>
      </c>
      <c r="H186" s="6" t="s">
        <v>169</v>
      </c>
      <c r="I186" s="16">
        <v>60</v>
      </c>
      <c r="J186" s="17">
        <v>22.2</v>
      </c>
      <c r="K186" s="17">
        <f t="shared" si="45"/>
        <v>3.9959999999999996</v>
      </c>
      <c r="L186" s="17">
        <f t="shared" si="50"/>
        <v>26.195999999999998</v>
      </c>
      <c r="M186" s="17">
        <f t="shared" si="51"/>
        <v>1571.7599999999998</v>
      </c>
      <c r="N186" s="17">
        <v>0</v>
      </c>
      <c r="O186" s="17">
        <f t="shared" si="39"/>
        <v>60</v>
      </c>
      <c r="P186" s="17">
        <f t="shared" si="41"/>
        <v>1571.7599999999998</v>
      </c>
      <c r="Q186" s="6" t="s">
        <v>368</v>
      </c>
      <c r="R186" s="18">
        <f t="shared" si="55"/>
        <v>26.195999999999994</v>
      </c>
    </row>
    <row r="187" spans="1:18" s="19" customFormat="1" ht="20.25" x14ac:dyDescent="0.3">
      <c r="A187" s="6">
        <f t="shared" si="47"/>
        <v>180</v>
      </c>
      <c r="B187" s="13" t="s">
        <v>369</v>
      </c>
      <c r="C187" s="13" t="s">
        <v>325</v>
      </c>
      <c r="D187" s="14" t="s">
        <v>121</v>
      </c>
      <c r="E187" s="14" t="s">
        <v>377</v>
      </c>
      <c r="F187" s="15">
        <f t="shared" si="56"/>
        <v>56</v>
      </c>
      <c r="G187" s="15">
        <f t="shared" si="40"/>
        <v>1387.68</v>
      </c>
      <c r="H187" s="6" t="s">
        <v>169</v>
      </c>
      <c r="I187" s="16">
        <v>60</v>
      </c>
      <c r="J187" s="17">
        <v>21</v>
      </c>
      <c r="K187" s="17">
        <f t="shared" si="45"/>
        <v>3.78</v>
      </c>
      <c r="L187" s="17">
        <f t="shared" si="50"/>
        <v>24.78</v>
      </c>
      <c r="M187" s="17">
        <f t="shared" si="51"/>
        <v>1486.8000000000002</v>
      </c>
      <c r="N187" s="17">
        <f>2+2</f>
        <v>4</v>
      </c>
      <c r="O187" s="17">
        <f t="shared" ref="O187:O244" si="57">$I187-$N187</f>
        <v>56</v>
      </c>
      <c r="P187" s="17">
        <f t="shared" si="41"/>
        <v>1387.68</v>
      </c>
      <c r="Q187" s="6" t="s">
        <v>368</v>
      </c>
      <c r="R187" s="18"/>
    </row>
    <row r="188" spans="1:18" s="19" customFormat="1" ht="20.25" x14ac:dyDescent="0.3">
      <c r="A188" s="6">
        <f t="shared" si="47"/>
        <v>181</v>
      </c>
      <c r="B188" s="13" t="s">
        <v>369</v>
      </c>
      <c r="C188" s="13" t="s">
        <v>325</v>
      </c>
      <c r="D188" s="14" t="s">
        <v>422</v>
      </c>
      <c r="E188" s="14" t="s">
        <v>376</v>
      </c>
      <c r="F188" s="15">
        <f t="shared" si="56"/>
        <v>56</v>
      </c>
      <c r="G188" s="15">
        <f t="shared" si="40"/>
        <v>1387.68</v>
      </c>
      <c r="H188" s="6" t="s">
        <v>169</v>
      </c>
      <c r="I188" s="16">
        <v>60</v>
      </c>
      <c r="J188" s="17">
        <v>21</v>
      </c>
      <c r="K188" s="17">
        <f t="shared" si="45"/>
        <v>3.78</v>
      </c>
      <c r="L188" s="17">
        <f t="shared" si="50"/>
        <v>24.78</v>
      </c>
      <c r="M188" s="17">
        <f t="shared" si="51"/>
        <v>1486.8000000000002</v>
      </c>
      <c r="N188" s="17">
        <f>2+2</f>
        <v>4</v>
      </c>
      <c r="O188" s="17">
        <f t="shared" si="57"/>
        <v>56</v>
      </c>
      <c r="P188" s="17">
        <f t="shared" si="41"/>
        <v>1387.68</v>
      </c>
      <c r="Q188" s="6" t="s">
        <v>368</v>
      </c>
      <c r="R188" s="18"/>
    </row>
    <row r="189" spans="1:18" s="19" customFormat="1" ht="20.25" x14ac:dyDescent="0.3">
      <c r="A189" s="6">
        <f t="shared" si="47"/>
        <v>182</v>
      </c>
      <c r="B189" s="13">
        <v>43252</v>
      </c>
      <c r="C189" s="13">
        <v>43253</v>
      </c>
      <c r="D189" s="14" t="s">
        <v>119</v>
      </c>
      <c r="E189" s="14" t="s">
        <v>120</v>
      </c>
      <c r="F189" s="15">
        <f t="shared" si="56"/>
        <v>2</v>
      </c>
      <c r="G189" s="15">
        <f t="shared" si="40"/>
        <v>165.2</v>
      </c>
      <c r="H189" s="6" t="s">
        <v>169</v>
      </c>
      <c r="I189" s="16">
        <v>27</v>
      </c>
      <c r="J189" s="17">
        <v>70</v>
      </c>
      <c r="K189" s="17">
        <f t="shared" si="45"/>
        <v>12.6</v>
      </c>
      <c r="L189" s="17">
        <f t="shared" si="50"/>
        <v>82.6</v>
      </c>
      <c r="M189" s="17">
        <f t="shared" si="51"/>
        <v>2230.1999999999998</v>
      </c>
      <c r="N189" s="17">
        <f>10+6+2+2+1+2+2</f>
        <v>25</v>
      </c>
      <c r="O189" s="31">
        <f t="shared" si="57"/>
        <v>2</v>
      </c>
      <c r="P189" s="17">
        <f t="shared" si="41"/>
        <v>165.2</v>
      </c>
      <c r="Q189" s="6"/>
      <c r="R189" s="18"/>
    </row>
    <row r="190" spans="1:18" s="19" customFormat="1" ht="20.25" x14ac:dyDescent="0.3">
      <c r="A190" s="6">
        <f t="shared" si="47"/>
        <v>183</v>
      </c>
      <c r="B190" s="13" t="s">
        <v>369</v>
      </c>
      <c r="C190" s="13" t="s">
        <v>325</v>
      </c>
      <c r="D190" s="14" t="s">
        <v>421</v>
      </c>
      <c r="E190" s="14" t="s">
        <v>375</v>
      </c>
      <c r="F190" s="15">
        <f t="shared" si="56"/>
        <v>60</v>
      </c>
      <c r="G190" s="15">
        <f t="shared" si="40"/>
        <v>1486.8000000000002</v>
      </c>
      <c r="H190" s="6" t="s">
        <v>169</v>
      </c>
      <c r="I190" s="16">
        <v>60</v>
      </c>
      <c r="J190" s="17">
        <v>21</v>
      </c>
      <c r="K190" s="17">
        <f t="shared" si="45"/>
        <v>3.78</v>
      </c>
      <c r="L190" s="17">
        <f t="shared" si="50"/>
        <v>24.78</v>
      </c>
      <c r="M190" s="17">
        <f t="shared" si="51"/>
        <v>1486.8000000000002</v>
      </c>
      <c r="N190" s="17">
        <v>0</v>
      </c>
      <c r="O190" s="17">
        <f>$I190-$N190</f>
        <v>60</v>
      </c>
      <c r="P190" s="17">
        <f t="shared" si="41"/>
        <v>1486.8000000000002</v>
      </c>
      <c r="Q190" s="6" t="s">
        <v>368</v>
      </c>
      <c r="R190" s="18"/>
    </row>
    <row r="191" spans="1:18" s="19" customFormat="1" ht="20.25" x14ac:dyDescent="0.3">
      <c r="A191" s="6">
        <f t="shared" si="47"/>
        <v>184</v>
      </c>
      <c r="B191" s="13" t="s">
        <v>369</v>
      </c>
      <c r="C191" s="13" t="s">
        <v>325</v>
      </c>
      <c r="D191" s="14" t="s">
        <v>118</v>
      </c>
      <c r="E191" s="14" t="s">
        <v>374</v>
      </c>
      <c r="F191" s="15">
        <f t="shared" si="56"/>
        <v>12</v>
      </c>
      <c r="G191" s="15">
        <f t="shared" ref="G191:G244" si="58">$O191*$L191</f>
        <v>297.36</v>
      </c>
      <c r="H191" s="6" t="s">
        <v>169</v>
      </c>
      <c r="I191" s="16">
        <v>20</v>
      </c>
      <c r="J191" s="17">
        <v>21</v>
      </c>
      <c r="K191" s="17">
        <f t="shared" si="45"/>
        <v>3.78</v>
      </c>
      <c r="L191" s="17">
        <f t="shared" si="50"/>
        <v>24.78</v>
      </c>
      <c r="M191" s="17">
        <f t="shared" si="51"/>
        <v>495.6</v>
      </c>
      <c r="N191" s="17">
        <f>4+2+2</f>
        <v>8</v>
      </c>
      <c r="O191" s="17">
        <f>$I191-$N191</f>
        <v>12</v>
      </c>
      <c r="P191" s="17">
        <f t="shared" ref="P191:P244" si="59">$O191*$L191</f>
        <v>297.36</v>
      </c>
      <c r="Q191" s="6" t="s">
        <v>368</v>
      </c>
      <c r="R191" s="18"/>
    </row>
    <row r="192" spans="1:18" s="19" customFormat="1" ht="20.25" x14ac:dyDescent="0.3">
      <c r="A192" s="6">
        <f t="shared" si="47"/>
        <v>185</v>
      </c>
      <c r="B192" s="13">
        <v>43609</v>
      </c>
      <c r="C192" s="13">
        <v>43612</v>
      </c>
      <c r="D192" s="14" t="s">
        <v>118</v>
      </c>
      <c r="E192" s="14" t="s">
        <v>201</v>
      </c>
      <c r="F192" s="15">
        <f t="shared" si="56"/>
        <v>3</v>
      </c>
      <c r="G192" s="15">
        <f t="shared" si="58"/>
        <v>177</v>
      </c>
      <c r="H192" s="6" t="s">
        <v>169</v>
      </c>
      <c r="I192" s="16">
        <v>20</v>
      </c>
      <c r="J192" s="17">
        <v>50</v>
      </c>
      <c r="K192" s="17">
        <f t="shared" si="45"/>
        <v>9</v>
      </c>
      <c r="L192" s="17">
        <f t="shared" si="50"/>
        <v>59</v>
      </c>
      <c r="M192" s="17">
        <f t="shared" si="51"/>
        <v>1180</v>
      </c>
      <c r="N192" s="17">
        <f>7+1+1+1+1+1+2+1+1+1</f>
        <v>17</v>
      </c>
      <c r="O192" s="17">
        <f t="shared" si="57"/>
        <v>3</v>
      </c>
      <c r="P192" s="17">
        <f t="shared" si="59"/>
        <v>177</v>
      </c>
      <c r="Q192" s="6" t="s">
        <v>210</v>
      </c>
      <c r="R192" s="18"/>
    </row>
    <row r="193" spans="1:18" s="19" customFormat="1" ht="20.25" x14ac:dyDescent="0.3">
      <c r="A193" s="6">
        <f t="shared" si="47"/>
        <v>186</v>
      </c>
      <c r="B193" s="13">
        <v>43252</v>
      </c>
      <c r="C193" s="13">
        <v>43253</v>
      </c>
      <c r="D193" s="14" t="s">
        <v>124</v>
      </c>
      <c r="E193" s="14" t="s">
        <v>125</v>
      </c>
      <c r="F193" s="15">
        <f t="shared" si="56"/>
        <v>45</v>
      </c>
      <c r="G193" s="15">
        <f t="shared" si="58"/>
        <v>1106.0730000000001</v>
      </c>
      <c r="H193" s="6" t="s">
        <v>169</v>
      </c>
      <c r="I193" s="16">
        <v>50</v>
      </c>
      <c r="J193" s="17">
        <v>20.83</v>
      </c>
      <c r="K193" s="17">
        <f t="shared" si="45"/>
        <v>3.7493999999999996</v>
      </c>
      <c r="L193" s="17">
        <f t="shared" si="50"/>
        <v>24.5794</v>
      </c>
      <c r="M193" s="17">
        <f t="shared" si="51"/>
        <v>1228.97</v>
      </c>
      <c r="N193" s="17">
        <f>2+1+1+1</f>
        <v>5</v>
      </c>
      <c r="O193" s="17">
        <f t="shared" si="57"/>
        <v>45</v>
      </c>
      <c r="P193" s="17">
        <f t="shared" si="59"/>
        <v>1106.0730000000001</v>
      </c>
      <c r="Q193" s="17"/>
      <c r="R193" s="18">
        <f>P193/O193</f>
        <v>24.579400000000003</v>
      </c>
    </row>
    <row r="194" spans="1:18" s="19" customFormat="1" ht="20.25" x14ac:dyDescent="0.3">
      <c r="A194" s="6">
        <f t="shared" si="47"/>
        <v>187</v>
      </c>
      <c r="B194" s="13">
        <v>43830</v>
      </c>
      <c r="C194" s="13">
        <v>43859</v>
      </c>
      <c r="D194" s="14" t="s">
        <v>124</v>
      </c>
      <c r="E194" s="14" t="s">
        <v>263</v>
      </c>
      <c r="F194" s="15">
        <f t="shared" si="56"/>
        <v>19</v>
      </c>
      <c r="G194" s="15">
        <f t="shared" si="58"/>
        <v>28975</v>
      </c>
      <c r="H194" s="6" t="s">
        <v>169</v>
      </c>
      <c r="I194" s="16">
        <v>20</v>
      </c>
      <c r="J194" s="17">
        <f>1525</f>
        <v>1525</v>
      </c>
      <c r="K194" s="17">
        <v>0</v>
      </c>
      <c r="L194" s="17">
        <f>+J194</f>
        <v>1525</v>
      </c>
      <c r="M194" s="17">
        <f t="shared" si="51"/>
        <v>30500</v>
      </c>
      <c r="N194" s="17">
        <v>1</v>
      </c>
      <c r="O194" s="17">
        <f t="shared" si="57"/>
        <v>19</v>
      </c>
      <c r="P194" s="17">
        <f t="shared" si="59"/>
        <v>28975</v>
      </c>
      <c r="Q194" s="6" t="s">
        <v>260</v>
      </c>
      <c r="R194" s="18">
        <f>P194/O194</f>
        <v>1525</v>
      </c>
    </row>
    <row r="195" spans="1:18" s="19" customFormat="1" ht="20.25" x14ac:dyDescent="0.3">
      <c r="A195" s="6">
        <f t="shared" si="47"/>
        <v>188</v>
      </c>
      <c r="B195" s="13">
        <v>43252</v>
      </c>
      <c r="C195" s="13">
        <v>43253</v>
      </c>
      <c r="D195" s="14" t="s">
        <v>126</v>
      </c>
      <c r="E195" s="14" t="s">
        <v>202</v>
      </c>
      <c r="F195" s="15">
        <f t="shared" si="56"/>
        <v>53</v>
      </c>
      <c r="G195" s="15">
        <f t="shared" si="58"/>
        <v>1876.1999999999998</v>
      </c>
      <c r="H195" s="6" t="s">
        <v>203</v>
      </c>
      <c r="I195" s="16">
        <v>95</v>
      </c>
      <c r="J195" s="17">
        <v>30</v>
      </c>
      <c r="K195" s="17">
        <f t="shared" si="45"/>
        <v>5.3999999999999995</v>
      </c>
      <c r="L195" s="17">
        <f t="shared" si="50"/>
        <v>35.4</v>
      </c>
      <c r="M195" s="17">
        <f t="shared" si="51"/>
        <v>3363</v>
      </c>
      <c r="N195" s="17">
        <f>25+1+12+2+2</f>
        <v>42</v>
      </c>
      <c r="O195" s="17">
        <f t="shared" si="57"/>
        <v>53</v>
      </c>
      <c r="P195" s="17">
        <f t="shared" si="59"/>
        <v>1876.1999999999998</v>
      </c>
      <c r="Q195" s="17"/>
      <c r="R195" s="18">
        <f>P195/O195</f>
        <v>35.4</v>
      </c>
    </row>
    <row r="196" spans="1:18" s="19" customFormat="1" ht="20.25" x14ac:dyDescent="0.3">
      <c r="A196" s="6">
        <f t="shared" si="47"/>
        <v>189</v>
      </c>
      <c r="B196" s="13">
        <v>43830</v>
      </c>
      <c r="C196" s="13">
        <v>43859</v>
      </c>
      <c r="D196" s="14" t="s">
        <v>126</v>
      </c>
      <c r="E196" s="14" t="s">
        <v>267</v>
      </c>
      <c r="F196" s="15">
        <f t="shared" si="56"/>
        <v>19</v>
      </c>
      <c r="G196" s="15">
        <f t="shared" si="58"/>
        <v>1216</v>
      </c>
      <c r="H196" s="6" t="s">
        <v>270</v>
      </c>
      <c r="I196" s="16">
        <v>20</v>
      </c>
      <c r="J196" s="17">
        <f>64</f>
        <v>64</v>
      </c>
      <c r="K196" s="17">
        <v>0</v>
      </c>
      <c r="L196" s="17">
        <f>+J196</f>
        <v>64</v>
      </c>
      <c r="M196" s="17">
        <f t="shared" si="51"/>
        <v>1280</v>
      </c>
      <c r="N196" s="17">
        <v>1</v>
      </c>
      <c r="O196" s="17">
        <f t="shared" si="57"/>
        <v>19</v>
      </c>
      <c r="P196" s="17">
        <f t="shared" si="59"/>
        <v>1216</v>
      </c>
      <c r="Q196" s="6" t="s">
        <v>260</v>
      </c>
      <c r="R196" s="18">
        <f>P196/O196</f>
        <v>64</v>
      </c>
    </row>
    <row r="197" spans="1:18" s="19" customFormat="1" ht="20.25" x14ac:dyDescent="0.3">
      <c r="A197" s="6">
        <f t="shared" si="47"/>
        <v>190</v>
      </c>
      <c r="B197" s="13" t="s">
        <v>369</v>
      </c>
      <c r="C197" s="13" t="s">
        <v>325</v>
      </c>
      <c r="D197" s="14" t="s">
        <v>126</v>
      </c>
      <c r="E197" s="14" t="s">
        <v>425</v>
      </c>
      <c r="F197" s="15">
        <f t="shared" si="56"/>
        <v>5</v>
      </c>
      <c r="G197" s="15">
        <f t="shared" si="58"/>
        <v>147.5</v>
      </c>
      <c r="H197" s="6" t="s">
        <v>426</v>
      </c>
      <c r="I197" s="16">
        <v>20</v>
      </c>
      <c r="J197" s="17">
        <v>25</v>
      </c>
      <c r="K197" s="17">
        <f t="shared" ref="K197:K200" si="60">+J197*18%</f>
        <v>4.5</v>
      </c>
      <c r="L197" s="17">
        <f t="shared" ref="L197" si="61">+J197+K197</f>
        <v>29.5</v>
      </c>
      <c r="M197" s="17">
        <f t="shared" si="51"/>
        <v>590</v>
      </c>
      <c r="N197" s="17">
        <f>10+5</f>
        <v>15</v>
      </c>
      <c r="O197" s="17">
        <f t="shared" si="57"/>
        <v>5</v>
      </c>
      <c r="P197" s="17">
        <f t="shared" si="59"/>
        <v>147.5</v>
      </c>
      <c r="Q197" s="17" t="s">
        <v>368</v>
      </c>
      <c r="R197" s="18"/>
    </row>
    <row r="198" spans="1:18" s="19" customFormat="1" ht="20.25" x14ac:dyDescent="0.3">
      <c r="A198" s="6">
        <f t="shared" si="47"/>
        <v>191</v>
      </c>
      <c r="B198" s="13">
        <v>43252</v>
      </c>
      <c r="C198" s="13">
        <v>43253</v>
      </c>
      <c r="D198" s="14" t="s">
        <v>278</v>
      </c>
      <c r="E198" s="14" t="s">
        <v>127</v>
      </c>
      <c r="F198" s="15">
        <f t="shared" si="56"/>
        <v>285</v>
      </c>
      <c r="G198" s="15">
        <f t="shared" si="58"/>
        <v>4703.4800000000005</v>
      </c>
      <c r="H198" s="22" t="s">
        <v>204</v>
      </c>
      <c r="I198" s="16">
        <v>285</v>
      </c>
      <c r="J198" s="17">
        <f>3986/285</f>
        <v>13.985964912280702</v>
      </c>
      <c r="K198" s="17">
        <f t="shared" si="60"/>
        <v>2.5174736842105263</v>
      </c>
      <c r="L198" s="17">
        <f t="shared" si="50"/>
        <v>16.503438596491229</v>
      </c>
      <c r="M198" s="17">
        <f t="shared" si="51"/>
        <v>4703.4800000000005</v>
      </c>
      <c r="N198" s="17">
        <v>0</v>
      </c>
      <c r="O198" s="17">
        <f t="shared" si="57"/>
        <v>285</v>
      </c>
      <c r="P198" s="17">
        <f t="shared" si="59"/>
        <v>4703.4800000000005</v>
      </c>
      <c r="Q198" s="6"/>
      <c r="R198" s="18">
        <f t="shared" ref="R198:R203" si="62">P198/O198</f>
        <v>16.503438596491229</v>
      </c>
    </row>
    <row r="199" spans="1:18" s="19" customFormat="1" ht="20.25" x14ac:dyDescent="0.3">
      <c r="A199" s="6">
        <f t="shared" si="47"/>
        <v>192</v>
      </c>
      <c r="B199" s="13" t="s">
        <v>324</v>
      </c>
      <c r="C199" s="13" t="s">
        <v>325</v>
      </c>
      <c r="D199" s="14" t="s">
        <v>326</v>
      </c>
      <c r="E199" s="14" t="s">
        <v>328</v>
      </c>
      <c r="F199" s="15">
        <f t="shared" si="56"/>
        <v>3</v>
      </c>
      <c r="G199" s="15">
        <f t="shared" si="58"/>
        <v>353.96459999999996</v>
      </c>
      <c r="H199" s="22" t="s">
        <v>169</v>
      </c>
      <c r="I199" s="16">
        <v>3</v>
      </c>
      <c r="J199" s="17">
        <v>99.99</v>
      </c>
      <c r="K199" s="17">
        <f t="shared" si="60"/>
        <v>17.998199999999997</v>
      </c>
      <c r="L199" s="17">
        <f t="shared" si="50"/>
        <v>117.98819999999999</v>
      </c>
      <c r="M199" s="17">
        <f t="shared" si="51"/>
        <v>353.96459999999996</v>
      </c>
      <c r="N199" s="17">
        <v>0</v>
      </c>
      <c r="O199" s="17">
        <f t="shared" si="57"/>
        <v>3</v>
      </c>
      <c r="P199" s="17">
        <f t="shared" si="59"/>
        <v>353.96459999999996</v>
      </c>
      <c r="Q199" s="6" t="s">
        <v>330</v>
      </c>
      <c r="R199" s="18">
        <f t="shared" si="62"/>
        <v>117.98819999999999</v>
      </c>
    </row>
    <row r="200" spans="1:18" s="19" customFormat="1" ht="20.25" x14ac:dyDescent="0.3">
      <c r="A200" s="6">
        <f t="shared" si="47"/>
        <v>193</v>
      </c>
      <c r="B200" s="13" t="s">
        <v>324</v>
      </c>
      <c r="C200" s="13" t="s">
        <v>325</v>
      </c>
      <c r="D200" s="14" t="s">
        <v>327</v>
      </c>
      <c r="E200" s="14" t="s">
        <v>329</v>
      </c>
      <c r="F200" s="15">
        <f t="shared" si="56"/>
        <v>3</v>
      </c>
      <c r="G200" s="15">
        <f t="shared" si="58"/>
        <v>513.29999999999995</v>
      </c>
      <c r="H200" s="22" t="s">
        <v>169</v>
      </c>
      <c r="I200" s="16">
        <v>3</v>
      </c>
      <c r="J200" s="17">
        <v>145</v>
      </c>
      <c r="K200" s="17">
        <f t="shared" si="60"/>
        <v>26.099999999999998</v>
      </c>
      <c r="L200" s="17">
        <f t="shared" si="50"/>
        <v>171.1</v>
      </c>
      <c r="M200" s="17">
        <f t="shared" si="51"/>
        <v>513.29999999999995</v>
      </c>
      <c r="N200" s="17">
        <v>0</v>
      </c>
      <c r="O200" s="17">
        <f t="shared" si="57"/>
        <v>3</v>
      </c>
      <c r="P200" s="17">
        <f t="shared" si="59"/>
        <v>513.29999999999995</v>
      </c>
      <c r="Q200" s="6" t="s">
        <v>330</v>
      </c>
      <c r="R200" s="18">
        <f t="shared" si="62"/>
        <v>171.1</v>
      </c>
    </row>
    <row r="201" spans="1:18" s="19" customFormat="1" ht="20.25" x14ac:dyDescent="0.3">
      <c r="A201" s="6">
        <f t="shared" si="47"/>
        <v>194</v>
      </c>
      <c r="B201" s="13">
        <v>43609</v>
      </c>
      <c r="C201" s="13">
        <v>43612</v>
      </c>
      <c r="D201" s="14" t="s">
        <v>128</v>
      </c>
      <c r="E201" s="14" t="s">
        <v>129</v>
      </c>
      <c r="F201" s="15">
        <f t="shared" si="56"/>
        <v>356</v>
      </c>
      <c r="G201" s="15">
        <f t="shared" si="58"/>
        <v>1260.24</v>
      </c>
      <c r="H201" s="6" t="s">
        <v>181</v>
      </c>
      <c r="I201" s="16">
        <v>500</v>
      </c>
      <c r="J201" s="17">
        <v>3</v>
      </c>
      <c r="K201" s="17">
        <f>+J201*18%</f>
        <v>0.54</v>
      </c>
      <c r="L201" s="17">
        <f>+J201+K201</f>
        <v>3.54</v>
      </c>
      <c r="M201" s="17">
        <f>$I201*$L201</f>
        <v>1770</v>
      </c>
      <c r="N201" s="17">
        <f>20+12+10+1+15+5+30+4+1+10+10+1+1+2+2+2+2+6+10</f>
        <v>144</v>
      </c>
      <c r="O201" s="17">
        <f t="shared" si="57"/>
        <v>356</v>
      </c>
      <c r="P201" s="17">
        <f t="shared" si="59"/>
        <v>1260.24</v>
      </c>
      <c r="Q201" s="6" t="s">
        <v>210</v>
      </c>
      <c r="R201" s="18">
        <f t="shared" si="62"/>
        <v>3.54</v>
      </c>
    </row>
    <row r="202" spans="1:18" s="19" customFormat="1" ht="20.25" x14ac:dyDescent="0.3">
      <c r="A202" s="6">
        <f t="shared" ref="A202:A244" si="63">A201+1</f>
        <v>195</v>
      </c>
      <c r="B202" s="13">
        <v>43609</v>
      </c>
      <c r="C202" s="13">
        <v>43612</v>
      </c>
      <c r="D202" s="14" t="s">
        <v>131</v>
      </c>
      <c r="E202" s="14" t="s">
        <v>132</v>
      </c>
      <c r="F202" s="15">
        <f t="shared" si="56"/>
        <v>408</v>
      </c>
      <c r="G202" s="15">
        <f t="shared" si="58"/>
        <v>866.5920000000001</v>
      </c>
      <c r="H202" s="6" t="s">
        <v>169</v>
      </c>
      <c r="I202" s="16">
        <v>500</v>
      </c>
      <c r="J202" s="17">
        <v>1.8</v>
      </c>
      <c r="K202" s="17">
        <f>+J202*18%</f>
        <v>0.32400000000000001</v>
      </c>
      <c r="L202" s="17">
        <f>+J202+K202</f>
        <v>2.1240000000000001</v>
      </c>
      <c r="M202" s="17">
        <f>$I202*$L202</f>
        <v>1062</v>
      </c>
      <c r="N202" s="17">
        <f>12+30+25+15+9+1</f>
        <v>92</v>
      </c>
      <c r="O202" s="17">
        <f t="shared" si="57"/>
        <v>408</v>
      </c>
      <c r="P202" s="17">
        <f t="shared" si="59"/>
        <v>866.5920000000001</v>
      </c>
      <c r="Q202" s="6" t="s">
        <v>210</v>
      </c>
      <c r="R202" s="18">
        <f t="shared" si="62"/>
        <v>2.1240000000000001</v>
      </c>
    </row>
    <row r="203" spans="1:18" s="19" customFormat="1" ht="20.25" x14ac:dyDescent="0.3">
      <c r="A203" s="6">
        <f t="shared" si="63"/>
        <v>196</v>
      </c>
      <c r="B203" s="13">
        <v>43609</v>
      </c>
      <c r="C203" s="13">
        <v>43612</v>
      </c>
      <c r="D203" s="14" t="s">
        <v>379</v>
      </c>
      <c r="E203" s="14" t="s">
        <v>130</v>
      </c>
      <c r="F203" s="15">
        <f t="shared" si="56"/>
        <v>327</v>
      </c>
      <c r="G203" s="15">
        <f t="shared" si="58"/>
        <v>926.06399999999996</v>
      </c>
      <c r="H203" s="6" t="s">
        <v>169</v>
      </c>
      <c r="I203" s="16">
        <v>500</v>
      </c>
      <c r="J203" s="17">
        <v>2.4</v>
      </c>
      <c r="K203" s="17">
        <f>+J203*18%</f>
        <v>0.432</v>
      </c>
      <c r="L203" s="17">
        <f>+J203+K203</f>
        <v>2.8319999999999999</v>
      </c>
      <c r="M203" s="17">
        <f>$I203*$L203</f>
        <v>1416</v>
      </c>
      <c r="N203" s="17">
        <f>2+2+12+20+25+12+10+2+1+17+1+1+10+10+2+10+20+2+14</f>
        <v>173</v>
      </c>
      <c r="O203" s="17">
        <f t="shared" si="57"/>
        <v>327</v>
      </c>
      <c r="P203" s="17">
        <f t="shared" si="59"/>
        <v>926.06399999999996</v>
      </c>
      <c r="Q203" s="6" t="s">
        <v>210</v>
      </c>
      <c r="R203" s="18">
        <f t="shared" si="62"/>
        <v>2.8319999999999999</v>
      </c>
    </row>
    <row r="204" spans="1:18" s="19" customFormat="1" ht="20.25" x14ac:dyDescent="0.3">
      <c r="A204" s="6">
        <f t="shared" si="63"/>
        <v>197</v>
      </c>
      <c r="B204" s="13" t="s">
        <v>369</v>
      </c>
      <c r="C204" s="13" t="s">
        <v>325</v>
      </c>
      <c r="D204" s="14" t="s">
        <v>128</v>
      </c>
      <c r="E204" s="14" t="s">
        <v>380</v>
      </c>
      <c r="F204" s="15">
        <f t="shared" si="56"/>
        <v>486</v>
      </c>
      <c r="G204" s="15">
        <f t="shared" si="58"/>
        <v>2179.2240000000002</v>
      </c>
      <c r="H204" s="6" t="s">
        <v>169</v>
      </c>
      <c r="I204" s="16">
        <v>500</v>
      </c>
      <c r="J204" s="17">
        <v>3.8</v>
      </c>
      <c r="K204" s="17">
        <f t="shared" ref="K204:K214" si="64">+J204*18%</f>
        <v>0.68399999999999994</v>
      </c>
      <c r="L204" s="17">
        <f t="shared" ref="L204:L207" si="65">+J204+K204</f>
        <v>4.484</v>
      </c>
      <c r="M204" s="17">
        <f t="shared" si="51"/>
        <v>2242</v>
      </c>
      <c r="N204" s="17">
        <f>12+2</f>
        <v>14</v>
      </c>
      <c r="O204" s="17">
        <f t="shared" si="57"/>
        <v>486</v>
      </c>
      <c r="P204" s="17">
        <f t="shared" si="59"/>
        <v>2179.2240000000002</v>
      </c>
      <c r="Q204" s="6" t="s">
        <v>368</v>
      </c>
      <c r="R204" s="18"/>
    </row>
    <row r="205" spans="1:18" ht="20.25" x14ac:dyDescent="0.3">
      <c r="A205" s="6">
        <f t="shared" si="63"/>
        <v>198</v>
      </c>
      <c r="B205" s="13" t="s">
        <v>369</v>
      </c>
      <c r="C205" s="13" t="s">
        <v>325</v>
      </c>
      <c r="D205" s="14" t="s">
        <v>131</v>
      </c>
      <c r="E205" s="14" t="s">
        <v>382</v>
      </c>
      <c r="F205" s="15">
        <f t="shared" si="56"/>
        <v>490</v>
      </c>
      <c r="G205" s="15">
        <f t="shared" si="58"/>
        <v>982.93999999999994</v>
      </c>
      <c r="H205" s="6" t="s">
        <v>169</v>
      </c>
      <c r="I205" s="16">
        <v>500</v>
      </c>
      <c r="J205" s="17">
        <v>1.7</v>
      </c>
      <c r="K205" s="17">
        <f t="shared" si="64"/>
        <v>0.30599999999999999</v>
      </c>
      <c r="L205" s="17">
        <f t="shared" si="65"/>
        <v>2.0059999999999998</v>
      </c>
      <c r="M205" s="17">
        <f t="shared" si="51"/>
        <v>1002.9999999999999</v>
      </c>
      <c r="N205" s="17">
        <v>10</v>
      </c>
      <c r="O205" s="17">
        <f t="shared" si="57"/>
        <v>490</v>
      </c>
      <c r="P205" s="17">
        <f t="shared" si="59"/>
        <v>982.93999999999994</v>
      </c>
      <c r="Q205" s="17" t="s">
        <v>368</v>
      </c>
    </row>
    <row r="206" spans="1:18" ht="20.25" x14ac:dyDescent="0.3">
      <c r="A206" s="6">
        <f t="shared" si="63"/>
        <v>199</v>
      </c>
      <c r="B206" s="13" t="s">
        <v>369</v>
      </c>
      <c r="C206" s="13" t="s">
        <v>325</v>
      </c>
      <c r="D206" s="14" t="s">
        <v>379</v>
      </c>
      <c r="E206" s="14" t="s">
        <v>381</v>
      </c>
      <c r="F206" s="15">
        <f t="shared" si="56"/>
        <v>934</v>
      </c>
      <c r="G206" s="15">
        <f t="shared" si="58"/>
        <v>3306.36</v>
      </c>
      <c r="H206" s="6" t="s">
        <v>169</v>
      </c>
      <c r="I206" s="16">
        <v>1000</v>
      </c>
      <c r="J206" s="17">
        <v>3</v>
      </c>
      <c r="K206" s="17">
        <f t="shared" si="64"/>
        <v>0.54</v>
      </c>
      <c r="L206" s="17">
        <f t="shared" si="65"/>
        <v>3.54</v>
      </c>
      <c r="M206" s="17">
        <f t="shared" si="51"/>
        <v>3540</v>
      </c>
      <c r="N206" s="17">
        <f>1+1+1+10+4+2+5+10+2+30</f>
        <v>66</v>
      </c>
      <c r="O206" s="17">
        <f t="shared" si="57"/>
        <v>934</v>
      </c>
      <c r="P206" s="17">
        <f t="shared" si="59"/>
        <v>3306.36</v>
      </c>
      <c r="Q206" s="17" t="s">
        <v>368</v>
      </c>
    </row>
    <row r="207" spans="1:18" s="19" customFormat="1" ht="20.25" x14ac:dyDescent="0.3">
      <c r="A207" s="6">
        <f t="shared" si="63"/>
        <v>200</v>
      </c>
      <c r="B207" s="13" t="s">
        <v>324</v>
      </c>
      <c r="C207" s="13" t="s">
        <v>325</v>
      </c>
      <c r="D207" s="14" t="s">
        <v>344</v>
      </c>
      <c r="E207" s="14" t="s">
        <v>314</v>
      </c>
      <c r="F207" s="15">
        <f t="shared" si="56"/>
        <v>10</v>
      </c>
      <c r="G207" s="15">
        <f t="shared" si="58"/>
        <v>5605</v>
      </c>
      <c r="H207" s="22" t="s">
        <v>169</v>
      </c>
      <c r="I207" s="16">
        <v>10</v>
      </c>
      <c r="J207" s="17">
        <v>475</v>
      </c>
      <c r="K207" s="17">
        <f t="shared" si="64"/>
        <v>85.5</v>
      </c>
      <c r="L207" s="17">
        <f t="shared" si="65"/>
        <v>560.5</v>
      </c>
      <c r="M207" s="17">
        <f t="shared" si="51"/>
        <v>5605</v>
      </c>
      <c r="N207" s="17">
        <v>0</v>
      </c>
      <c r="O207" s="17">
        <f t="shared" si="57"/>
        <v>10</v>
      </c>
      <c r="P207" s="17">
        <f t="shared" si="59"/>
        <v>5605</v>
      </c>
      <c r="Q207" s="6" t="s">
        <v>330</v>
      </c>
      <c r="R207" s="18">
        <f t="shared" ref="R207:R217" si="66">P207/O207</f>
        <v>560.5</v>
      </c>
    </row>
    <row r="208" spans="1:18" s="19" customFormat="1" ht="20.25" x14ac:dyDescent="0.3">
      <c r="A208" s="6">
        <f t="shared" si="63"/>
        <v>201</v>
      </c>
      <c r="B208" s="13">
        <v>43252</v>
      </c>
      <c r="C208" s="13">
        <v>43253</v>
      </c>
      <c r="D208" s="14" t="s">
        <v>274</v>
      </c>
      <c r="E208" s="14" t="s">
        <v>272</v>
      </c>
      <c r="F208" s="15">
        <f t="shared" si="56"/>
        <v>12</v>
      </c>
      <c r="G208" s="15">
        <f t="shared" si="58"/>
        <v>2053.1999999999998</v>
      </c>
      <c r="H208" s="6" t="s">
        <v>169</v>
      </c>
      <c r="I208" s="16">
        <v>24</v>
      </c>
      <c r="J208" s="17">
        <v>145</v>
      </c>
      <c r="K208" s="17">
        <f t="shared" si="64"/>
        <v>26.099999999999998</v>
      </c>
      <c r="L208" s="17">
        <f t="shared" si="50"/>
        <v>171.1</v>
      </c>
      <c r="M208" s="17">
        <f t="shared" si="51"/>
        <v>4106.3999999999996</v>
      </c>
      <c r="N208" s="17">
        <v>12</v>
      </c>
      <c r="O208" s="17">
        <f t="shared" si="57"/>
        <v>12</v>
      </c>
      <c r="P208" s="17">
        <f t="shared" si="59"/>
        <v>2053.1999999999998</v>
      </c>
      <c r="Q208" s="6"/>
      <c r="R208" s="18">
        <f t="shared" si="66"/>
        <v>171.1</v>
      </c>
    </row>
    <row r="209" spans="1:18" s="19" customFormat="1" ht="20.25" x14ac:dyDescent="0.3">
      <c r="A209" s="6">
        <f t="shared" si="63"/>
        <v>202</v>
      </c>
      <c r="B209" s="13" t="s">
        <v>273</v>
      </c>
      <c r="C209" s="13">
        <v>43858</v>
      </c>
      <c r="D209" s="14" t="s">
        <v>275</v>
      </c>
      <c r="E209" s="14" t="s">
        <v>277</v>
      </c>
      <c r="F209" s="15">
        <f t="shared" si="56"/>
        <v>17</v>
      </c>
      <c r="G209" s="15">
        <f t="shared" si="58"/>
        <v>7141.36</v>
      </c>
      <c r="H209" s="6" t="s">
        <v>226</v>
      </c>
      <c r="I209" s="16">
        <v>20</v>
      </c>
      <c r="J209" s="17">
        <v>356</v>
      </c>
      <c r="K209" s="17">
        <f>+J209*18%</f>
        <v>64.08</v>
      </c>
      <c r="L209" s="17">
        <f>+J209+K209</f>
        <v>420.08</v>
      </c>
      <c r="M209" s="17">
        <f t="shared" si="51"/>
        <v>8401.6</v>
      </c>
      <c r="N209" s="17">
        <v>3</v>
      </c>
      <c r="O209" s="17">
        <f t="shared" si="57"/>
        <v>17</v>
      </c>
      <c r="P209" s="17">
        <f t="shared" si="59"/>
        <v>7141.36</v>
      </c>
      <c r="Q209" s="6" t="s">
        <v>271</v>
      </c>
      <c r="R209" s="18">
        <f t="shared" si="66"/>
        <v>420.08</v>
      </c>
    </row>
    <row r="210" spans="1:18" s="19" customFormat="1" ht="20.25" x14ac:dyDescent="0.3">
      <c r="A210" s="6">
        <f t="shared" si="63"/>
        <v>203</v>
      </c>
      <c r="B210" s="13">
        <v>43252</v>
      </c>
      <c r="C210" s="13">
        <v>43253</v>
      </c>
      <c r="D210" s="14" t="s">
        <v>133</v>
      </c>
      <c r="E210" s="14" t="s">
        <v>134</v>
      </c>
      <c r="F210" s="15">
        <f t="shared" si="56"/>
        <v>7</v>
      </c>
      <c r="G210" s="15">
        <f t="shared" si="58"/>
        <v>536.9</v>
      </c>
      <c r="H210" s="6" t="s">
        <v>169</v>
      </c>
      <c r="I210" s="16">
        <v>13</v>
      </c>
      <c r="J210" s="6">
        <v>65</v>
      </c>
      <c r="K210" s="17">
        <f t="shared" si="64"/>
        <v>11.7</v>
      </c>
      <c r="L210" s="17">
        <f t="shared" si="50"/>
        <v>76.7</v>
      </c>
      <c r="M210" s="17">
        <f t="shared" si="51"/>
        <v>997.1</v>
      </c>
      <c r="N210" s="17">
        <f>3+3</f>
        <v>6</v>
      </c>
      <c r="O210" s="31">
        <f t="shared" si="57"/>
        <v>7</v>
      </c>
      <c r="P210" s="17">
        <f t="shared" si="59"/>
        <v>536.9</v>
      </c>
      <c r="Q210" s="6"/>
      <c r="R210" s="18">
        <f t="shared" si="66"/>
        <v>76.7</v>
      </c>
    </row>
    <row r="211" spans="1:18" s="19" customFormat="1" ht="20.25" x14ac:dyDescent="0.3">
      <c r="A211" s="6">
        <f t="shared" si="63"/>
        <v>204</v>
      </c>
      <c r="B211" s="13">
        <v>43609</v>
      </c>
      <c r="C211" s="13">
        <v>43612</v>
      </c>
      <c r="D211" s="14" t="s">
        <v>133</v>
      </c>
      <c r="E211" s="14" t="s">
        <v>134</v>
      </c>
      <c r="F211" s="15">
        <f t="shared" si="56"/>
        <v>8</v>
      </c>
      <c r="G211" s="15">
        <f t="shared" si="58"/>
        <v>2832</v>
      </c>
      <c r="H211" s="6" t="s">
        <v>169</v>
      </c>
      <c r="I211" s="16">
        <v>10</v>
      </c>
      <c r="J211" s="6">
        <v>300</v>
      </c>
      <c r="K211" s="17">
        <f>+J211*18%</f>
        <v>54</v>
      </c>
      <c r="L211" s="17">
        <f>+J211+K211</f>
        <v>354</v>
      </c>
      <c r="M211" s="17">
        <f t="shared" si="51"/>
        <v>3540</v>
      </c>
      <c r="N211" s="17">
        <v>2</v>
      </c>
      <c r="O211" s="17">
        <f t="shared" si="57"/>
        <v>8</v>
      </c>
      <c r="P211" s="17">
        <f t="shared" si="59"/>
        <v>2832</v>
      </c>
      <c r="Q211" s="6" t="s">
        <v>210</v>
      </c>
      <c r="R211" s="18">
        <f t="shared" si="66"/>
        <v>354</v>
      </c>
    </row>
    <row r="212" spans="1:18" s="19" customFormat="1" ht="20.25" x14ac:dyDescent="0.3">
      <c r="A212" s="6">
        <f t="shared" si="63"/>
        <v>205</v>
      </c>
      <c r="B212" s="13">
        <v>43252</v>
      </c>
      <c r="C212" s="13">
        <v>43254</v>
      </c>
      <c r="D212" s="14" t="s">
        <v>135</v>
      </c>
      <c r="E212" s="14" t="s">
        <v>136</v>
      </c>
      <c r="F212" s="15">
        <f t="shared" si="56"/>
        <v>0</v>
      </c>
      <c r="G212" s="15">
        <f t="shared" si="58"/>
        <v>0</v>
      </c>
      <c r="H212" s="6" t="s">
        <v>169</v>
      </c>
      <c r="I212" s="16">
        <v>8</v>
      </c>
      <c r="J212" s="6">
        <v>69</v>
      </c>
      <c r="K212" s="17">
        <f t="shared" si="64"/>
        <v>12.42</v>
      </c>
      <c r="L212" s="17">
        <f t="shared" si="50"/>
        <v>81.42</v>
      </c>
      <c r="M212" s="17">
        <f t="shared" si="51"/>
        <v>651.36</v>
      </c>
      <c r="N212" s="17">
        <f>3+1+2+1+1</f>
        <v>8</v>
      </c>
      <c r="O212" s="31">
        <f t="shared" si="57"/>
        <v>0</v>
      </c>
      <c r="P212" s="17">
        <f t="shared" si="59"/>
        <v>0</v>
      </c>
      <c r="Q212" s="6"/>
      <c r="R212" s="18" t="e">
        <f t="shared" si="66"/>
        <v>#DIV/0!</v>
      </c>
    </row>
    <row r="213" spans="1:18" s="19" customFormat="1" ht="20.25" x14ac:dyDescent="0.3">
      <c r="A213" s="6">
        <f t="shared" si="63"/>
        <v>206</v>
      </c>
      <c r="B213" s="13">
        <v>43252</v>
      </c>
      <c r="C213" s="13">
        <v>43253</v>
      </c>
      <c r="D213" s="14" t="s">
        <v>137</v>
      </c>
      <c r="E213" s="14" t="s">
        <v>138</v>
      </c>
      <c r="F213" s="15">
        <f t="shared" si="56"/>
        <v>8</v>
      </c>
      <c r="G213" s="15">
        <f t="shared" si="58"/>
        <v>755.2</v>
      </c>
      <c r="H213" s="6" t="s">
        <v>169</v>
      </c>
      <c r="I213" s="16">
        <v>11</v>
      </c>
      <c r="J213" s="6">
        <v>80</v>
      </c>
      <c r="K213" s="17">
        <f t="shared" si="64"/>
        <v>14.399999999999999</v>
      </c>
      <c r="L213" s="17">
        <f t="shared" si="50"/>
        <v>94.4</v>
      </c>
      <c r="M213" s="17">
        <f t="shared" si="51"/>
        <v>1038.4000000000001</v>
      </c>
      <c r="N213" s="17">
        <v>3</v>
      </c>
      <c r="O213" s="17">
        <f t="shared" si="57"/>
        <v>8</v>
      </c>
      <c r="P213" s="17">
        <f t="shared" si="59"/>
        <v>755.2</v>
      </c>
      <c r="Q213" s="6"/>
      <c r="R213" s="18">
        <f t="shared" si="66"/>
        <v>94.4</v>
      </c>
    </row>
    <row r="214" spans="1:18" s="19" customFormat="1" ht="20.25" x14ac:dyDescent="0.3">
      <c r="A214" s="6">
        <f t="shared" si="63"/>
        <v>207</v>
      </c>
      <c r="B214" s="13">
        <v>43252</v>
      </c>
      <c r="C214" s="13">
        <v>43253</v>
      </c>
      <c r="D214" s="14" t="s">
        <v>240</v>
      </c>
      <c r="E214" s="14" t="s">
        <v>139</v>
      </c>
      <c r="F214" s="15">
        <f t="shared" si="56"/>
        <v>1</v>
      </c>
      <c r="G214" s="15">
        <f t="shared" si="58"/>
        <v>230.1</v>
      </c>
      <c r="H214" s="6" t="s">
        <v>169</v>
      </c>
      <c r="I214" s="16">
        <v>24</v>
      </c>
      <c r="J214" s="6">
        <v>195</v>
      </c>
      <c r="K214" s="17">
        <f t="shared" si="64"/>
        <v>35.1</v>
      </c>
      <c r="L214" s="17">
        <f t="shared" si="50"/>
        <v>230.1</v>
      </c>
      <c r="M214" s="17">
        <f t="shared" si="51"/>
        <v>5522.4</v>
      </c>
      <c r="N214" s="17">
        <f>22+1</f>
        <v>23</v>
      </c>
      <c r="O214" s="17">
        <f t="shared" si="57"/>
        <v>1</v>
      </c>
      <c r="P214" s="17">
        <f t="shared" si="59"/>
        <v>230.1</v>
      </c>
      <c r="Q214" s="6" t="s">
        <v>210</v>
      </c>
      <c r="R214" s="18">
        <f t="shared" si="66"/>
        <v>230.1</v>
      </c>
    </row>
    <row r="215" spans="1:18" s="19" customFormat="1" ht="20.25" x14ac:dyDescent="0.3">
      <c r="A215" s="6">
        <f t="shared" si="63"/>
        <v>208</v>
      </c>
      <c r="B215" s="13">
        <v>43609</v>
      </c>
      <c r="C215" s="13">
        <v>43612</v>
      </c>
      <c r="D215" s="14" t="s">
        <v>240</v>
      </c>
      <c r="E215" s="14" t="s">
        <v>139</v>
      </c>
      <c r="F215" s="15">
        <f t="shared" si="56"/>
        <v>1</v>
      </c>
      <c r="G215" s="15">
        <f t="shared" si="58"/>
        <v>212.4</v>
      </c>
      <c r="H215" s="6" t="s">
        <v>169</v>
      </c>
      <c r="I215" s="16">
        <v>10</v>
      </c>
      <c r="J215" s="6">
        <v>180</v>
      </c>
      <c r="K215" s="17">
        <f>+J215*18%</f>
        <v>32.4</v>
      </c>
      <c r="L215" s="17">
        <f>+J215+K215</f>
        <v>212.4</v>
      </c>
      <c r="M215" s="17">
        <f t="shared" si="51"/>
        <v>2124</v>
      </c>
      <c r="N215" s="17">
        <f>8+1</f>
        <v>9</v>
      </c>
      <c r="O215" s="17">
        <f t="shared" si="57"/>
        <v>1</v>
      </c>
      <c r="P215" s="17">
        <f t="shared" si="59"/>
        <v>212.4</v>
      </c>
      <c r="Q215" s="6" t="s">
        <v>210</v>
      </c>
      <c r="R215" s="18">
        <f t="shared" si="66"/>
        <v>212.4</v>
      </c>
    </row>
    <row r="216" spans="1:18" s="19" customFormat="1" ht="20.25" x14ac:dyDescent="0.3">
      <c r="A216" s="6">
        <f t="shared" si="63"/>
        <v>209</v>
      </c>
      <c r="B216" s="13">
        <v>43252</v>
      </c>
      <c r="C216" s="13">
        <v>43253</v>
      </c>
      <c r="D216" s="14" t="s">
        <v>205</v>
      </c>
      <c r="E216" s="14" t="s">
        <v>206</v>
      </c>
      <c r="F216" s="15">
        <f t="shared" si="56"/>
        <v>6</v>
      </c>
      <c r="G216" s="15">
        <f t="shared" si="58"/>
        <v>276.12</v>
      </c>
      <c r="H216" s="6" t="s">
        <v>169</v>
      </c>
      <c r="I216" s="16">
        <v>150</v>
      </c>
      <c r="J216" s="17">
        <v>39</v>
      </c>
      <c r="K216" s="17">
        <f>+J216*18%</f>
        <v>7.02</v>
      </c>
      <c r="L216" s="17">
        <f>+J216+K216</f>
        <v>46.019999999999996</v>
      </c>
      <c r="M216" s="17">
        <f t="shared" si="51"/>
        <v>6902.9999999999991</v>
      </c>
      <c r="N216" s="17">
        <f>125+19</f>
        <v>144</v>
      </c>
      <c r="O216" s="17">
        <f t="shared" si="57"/>
        <v>6</v>
      </c>
      <c r="P216" s="17">
        <f t="shared" si="59"/>
        <v>276.12</v>
      </c>
      <c r="Q216" s="6" t="s">
        <v>210</v>
      </c>
      <c r="R216" s="18">
        <f t="shared" si="66"/>
        <v>46.02</v>
      </c>
    </row>
    <row r="217" spans="1:18" s="19" customFormat="1" ht="20.25" x14ac:dyDescent="0.3">
      <c r="A217" s="6">
        <f t="shared" si="63"/>
        <v>210</v>
      </c>
      <c r="B217" s="13">
        <v>43830</v>
      </c>
      <c r="C217" s="13">
        <v>43859</v>
      </c>
      <c r="D217" s="14" t="s">
        <v>214</v>
      </c>
      <c r="E217" s="14" t="s">
        <v>207</v>
      </c>
      <c r="F217" s="15">
        <f t="shared" si="56"/>
        <v>1</v>
      </c>
      <c r="G217" s="15">
        <f t="shared" si="58"/>
        <v>61</v>
      </c>
      <c r="H217" s="6" t="s">
        <v>169</v>
      </c>
      <c r="I217" s="16">
        <v>10</v>
      </c>
      <c r="J217" s="6">
        <f>61</f>
        <v>61</v>
      </c>
      <c r="K217" s="17">
        <v>0</v>
      </c>
      <c r="L217" s="17">
        <f>+J217</f>
        <v>61</v>
      </c>
      <c r="M217" s="17">
        <f t="shared" si="51"/>
        <v>610</v>
      </c>
      <c r="N217" s="17">
        <f>3+1+1+1+1+1+1</f>
        <v>9</v>
      </c>
      <c r="O217" s="31">
        <f t="shared" si="57"/>
        <v>1</v>
      </c>
      <c r="P217" s="17">
        <f t="shared" si="59"/>
        <v>61</v>
      </c>
      <c r="Q217" s="6" t="s">
        <v>260</v>
      </c>
      <c r="R217" s="18">
        <f t="shared" si="66"/>
        <v>61</v>
      </c>
    </row>
    <row r="218" spans="1:18" s="19" customFormat="1" ht="20.25" x14ac:dyDescent="0.3">
      <c r="A218" s="6">
        <f t="shared" si="63"/>
        <v>211</v>
      </c>
      <c r="B218" s="13">
        <v>44162</v>
      </c>
      <c r="C218" s="13">
        <v>44187</v>
      </c>
      <c r="D218" s="14" t="s">
        <v>214</v>
      </c>
      <c r="E218" s="14" t="s">
        <v>207</v>
      </c>
      <c r="F218" s="15">
        <f t="shared" si="56"/>
        <v>20</v>
      </c>
      <c r="G218" s="15">
        <f t="shared" si="58"/>
        <v>944</v>
      </c>
      <c r="H218" s="6" t="s">
        <v>169</v>
      </c>
      <c r="I218" s="16">
        <v>20</v>
      </c>
      <c r="J218" s="6">
        <v>40</v>
      </c>
      <c r="K218" s="17">
        <f>+J218*18%</f>
        <v>7.1999999999999993</v>
      </c>
      <c r="L218" s="17">
        <f t="shared" ref="L218:L244" si="67">+J218+K218</f>
        <v>47.2</v>
      </c>
      <c r="M218" s="17">
        <f t="shared" si="51"/>
        <v>944</v>
      </c>
      <c r="N218" s="17">
        <v>0</v>
      </c>
      <c r="O218" s="17">
        <f t="shared" si="57"/>
        <v>20</v>
      </c>
      <c r="P218" s="17">
        <f t="shared" si="59"/>
        <v>944</v>
      </c>
      <c r="Q218" s="6" t="s">
        <v>368</v>
      </c>
      <c r="R218" s="18"/>
    </row>
    <row r="219" spans="1:18" s="19" customFormat="1" ht="20.25" x14ac:dyDescent="0.3">
      <c r="A219" s="6">
        <f t="shared" si="63"/>
        <v>212</v>
      </c>
      <c r="B219" s="13">
        <v>43252</v>
      </c>
      <c r="C219" s="13">
        <v>43253</v>
      </c>
      <c r="D219" s="14" t="s">
        <v>217</v>
      </c>
      <c r="E219" s="14" t="s">
        <v>140</v>
      </c>
      <c r="F219" s="15">
        <f t="shared" si="56"/>
        <v>5</v>
      </c>
      <c r="G219" s="15">
        <f t="shared" si="58"/>
        <v>2506.3200000000002</v>
      </c>
      <c r="H219" s="6" t="s">
        <v>169</v>
      </c>
      <c r="I219" s="16">
        <v>5</v>
      </c>
      <c r="J219" s="6">
        <v>424.8</v>
      </c>
      <c r="K219" s="17">
        <f>+J219*18%</f>
        <v>76.463999999999999</v>
      </c>
      <c r="L219" s="17">
        <f>+J219+K219</f>
        <v>501.26400000000001</v>
      </c>
      <c r="M219" s="17">
        <f t="shared" ref="M219:M244" si="68">$I219*$L219</f>
        <v>2506.3200000000002</v>
      </c>
      <c r="N219" s="17">
        <v>0</v>
      </c>
      <c r="O219" s="17">
        <f t="shared" si="57"/>
        <v>5</v>
      </c>
      <c r="P219" s="17">
        <f t="shared" si="59"/>
        <v>2506.3200000000002</v>
      </c>
      <c r="Q219" s="6"/>
      <c r="R219" s="18">
        <f t="shared" ref="R219:R235" si="69">P219/O219</f>
        <v>501.26400000000001</v>
      </c>
    </row>
    <row r="220" spans="1:18" s="19" customFormat="1" ht="20.25" x14ac:dyDescent="0.3">
      <c r="A220" s="6">
        <f t="shared" si="63"/>
        <v>213</v>
      </c>
      <c r="B220" s="13">
        <v>43609</v>
      </c>
      <c r="C220" s="13">
        <v>43612</v>
      </c>
      <c r="D220" s="14" t="s">
        <v>217</v>
      </c>
      <c r="E220" s="14" t="s">
        <v>140</v>
      </c>
      <c r="F220" s="15">
        <f t="shared" si="56"/>
        <v>5</v>
      </c>
      <c r="G220" s="15">
        <f t="shared" si="58"/>
        <v>1180</v>
      </c>
      <c r="H220" s="6" t="s">
        <v>169</v>
      </c>
      <c r="I220" s="16">
        <v>5</v>
      </c>
      <c r="J220" s="6">
        <v>200</v>
      </c>
      <c r="K220" s="17">
        <f t="shared" ref="K220:K244" si="70">+J220*18%</f>
        <v>36</v>
      </c>
      <c r="L220" s="17">
        <f t="shared" si="67"/>
        <v>236</v>
      </c>
      <c r="M220" s="17">
        <f t="shared" si="68"/>
        <v>1180</v>
      </c>
      <c r="N220" s="17"/>
      <c r="O220" s="17">
        <f t="shared" si="57"/>
        <v>5</v>
      </c>
      <c r="P220" s="17">
        <f t="shared" si="59"/>
        <v>1180</v>
      </c>
      <c r="Q220" s="6" t="s">
        <v>210</v>
      </c>
      <c r="R220" s="18">
        <f t="shared" si="69"/>
        <v>236</v>
      </c>
    </row>
    <row r="221" spans="1:18" s="19" customFormat="1" ht="20.25" x14ac:dyDescent="0.3">
      <c r="A221" s="6">
        <f t="shared" si="63"/>
        <v>214</v>
      </c>
      <c r="B221" s="13">
        <v>43252</v>
      </c>
      <c r="C221" s="13">
        <v>43253</v>
      </c>
      <c r="D221" s="14" t="s">
        <v>208</v>
      </c>
      <c r="E221" s="14" t="s">
        <v>209</v>
      </c>
      <c r="F221" s="15">
        <f t="shared" si="56"/>
        <v>5</v>
      </c>
      <c r="G221" s="15">
        <f t="shared" si="58"/>
        <v>424.79999999999995</v>
      </c>
      <c r="H221" s="6" t="s">
        <v>169</v>
      </c>
      <c r="I221" s="16">
        <v>5</v>
      </c>
      <c r="J221" s="6">
        <v>72</v>
      </c>
      <c r="K221" s="17">
        <f t="shared" si="70"/>
        <v>12.959999999999999</v>
      </c>
      <c r="L221" s="17">
        <f t="shared" si="67"/>
        <v>84.96</v>
      </c>
      <c r="M221" s="17">
        <f t="shared" si="68"/>
        <v>424.79999999999995</v>
      </c>
      <c r="N221" s="17"/>
      <c r="O221" s="17">
        <f t="shared" si="57"/>
        <v>5</v>
      </c>
      <c r="P221" s="17">
        <f t="shared" si="59"/>
        <v>424.79999999999995</v>
      </c>
      <c r="Q221" s="6"/>
      <c r="R221" s="18">
        <f t="shared" si="69"/>
        <v>84.96</v>
      </c>
    </row>
    <row r="222" spans="1:18" s="19" customFormat="1" ht="20.25" x14ac:dyDescent="0.3">
      <c r="A222" s="6">
        <f t="shared" si="63"/>
        <v>215</v>
      </c>
      <c r="B222" s="13">
        <v>43252</v>
      </c>
      <c r="C222" s="13">
        <v>43253</v>
      </c>
      <c r="D222" s="14" t="s">
        <v>141</v>
      </c>
      <c r="E222" s="14" t="s">
        <v>142</v>
      </c>
      <c r="F222" s="15">
        <f t="shared" si="56"/>
        <v>0</v>
      </c>
      <c r="G222" s="15">
        <f t="shared" si="58"/>
        <v>0</v>
      </c>
      <c r="H222" s="6" t="s">
        <v>169</v>
      </c>
      <c r="I222" s="16">
        <v>3</v>
      </c>
      <c r="J222" s="17">
        <v>3550.85</v>
      </c>
      <c r="K222" s="17">
        <f t="shared" si="70"/>
        <v>639.15299999999991</v>
      </c>
      <c r="L222" s="17">
        <f t="shared" si="67"/>
        <v>4190.0029999999997</v>
      </c>
      <c r="M222" s="17">
        <f t="shared" si="68"/>
        <v>12570.008999999998</v>
      </c>
      <c r="N222" s="17">
        <f>1+1+1</f>
        <v>3</v>
      </c>
      <c r="O222" s="31">
        <f t="shared" si="57"/>
        <v>0</v>
      </c>
      <c r="P222" s="17">
        <f t="shared" si="59"/>
        <v>0</v>
      </c>
      <c r="Q222" s="6"/>
      <c r="R222" s="18" t="e">
        <f t="shared" si="69"/>
        <v>#DIV/0!</v>
      </c>
    </row>
    <row r="223" spans="1:18" s="19" customFormat="1" ht="20.25" x14ac:dyDescent="0.3">
      <c r="A223" s="6">
        <f t="shared" si="63"/>
        <v>216</v>
      </c>
      <c r="B223" s="13">
        <v>44162</v>
      </c>
      <c r="C223" s="13">
        <v>44187</v>
      </c>
      <c r="D223" s="14" t="s">
        <v>398</v>
      </c>
      <c r="E223" s="14" t="s">
        <v>395</v>
      </c>
      <c r="F223" s="15">
        <f t="shared" si="56"/>
        <v>1</v>
      </c>
      <c r="G223" s="15">
        <f t="shared" si="58"/>
        <v>2183</v>
      </c>
      <c r="H223" s="6" t="s">
        <v>169</v>
      </c>
      <c r="I223" s="16">
        <v>2</v>
      </c>
      <c r="J223" s="17">
        <v>1850</v>
      </c>
      <c r="K223" s="17">
        <f t="shared" si="70"/>
        <v>333</v>
      </c>
      <c r="L223" s="17">
        <f t="shared" si="67"/>
        <v>2183</v>
      </c>
      <c r="M223" s="17">
        <f t="shared" si="68"/>
        <v>4366</v>
      </c>
      <c r="N223" s="17">
        <v>1</v>
      </c>
      <c r="O223" s="31">
        <f t="shared" si="57"/>
        <v>1</v>
      </c>
      <c r="P223" s="17">
        <f t="shared" si="59"/>
        <v>2183</v>
      </c>
      <c r="Q223" s="6" t="s">
        <v>368</v>
      </c>
      <c r="R223" s="18">
        <f t="shared" si="69"/>
        <v>2183</v>
      </c>
    </row>
    <row r="224" spans="1:18" s="19" customFormat="1" ht="20.25" x14ac:dyDescent="0.3">
      <c r="A224" s="6">
        <f t="shared" si="63"/>
        <v>217</v>
      </c>
      <c r="B224" s="13">
        <v>44162</v>
      </c>
      <c r="C224" s="13">
        <v>44187</v>
      </c>
      <c r="D224" s="14" t="s">
        <v>397</v>
      </c>
      <c r="E224" s="14" t="s">
        <v>396</v>
      </c>
      <c r="F224" s="15">
        <f t="shared" si="56"/>
        <v>1</v>
      </c>
      <c r="G224" s="15">
        <f t="shared" si="58"/>
        <v>2183</v>
      </c>
      <c r="H224" s="6" t="s">
        <v>169</v>
      </c>
      <c r="I224" s="16">
        <v>2</v>
      </c>
      <c r="J224" s="17">
        <v>1850</v>
      </c>
      <c r="K224" s="17">
        <f t="shared" si="70"/>
        <v>333</v>
      </c>
      <c r="L224" s="17">
        <f t="shared" si="67"/>
        <v>2183</v>
      </c>
      <c r="M224" s="17">
        <f t="shared" si="68"/>
        <v>4366</v>
      </c>
      <c r="N224" s="17">
        <v>1</v>
      </c>
      <c r="O224" s="31">
        <f t="shared" si="57"/>
        <v>1</v>
      </c>
      <c r="P224" s="17">
        <f t="shared" si="59"/>
        <v>2183</v>
      </c>
      <c r="Q224" s="6" t="s">
        <v>368</v>
      </c>
      <c r="R224" s="18">
        <f t="shared" si="69"/>
        <v>2183</v>
      </c>
    </row>
    <row r="225" spans="1:19" s="19" customFormat="1" ht="21" customHeight="1" x14ac:dyDescent="0.3">
      <c r="A225" s="6">
        <f t="shared" si="63"/>
        <v>218</v>
      </c>
      <c r="B225" s="13">
        <v>43207</v>
      </c>
      <c r="C225" s="13">
        <v>43208</v>
      </c>
      <c r="D225" s="14" t="s">
        <v>397</v>
      </c>
      <c r="E225" s="14" t="s">
        <v>247</v>
      </c>
      <c r="F225" s="15">
        <f t="shared" si="56"/>
        <v>1</v>
      </c>
      <c r="G225" s="15">
        <f t="shared" si="58"/>
        <v>4465.9931999999999</v>
      </c>
      <c r="H225" s="6" t="s">
        <v>169</v>
      </c>
      <c r="I225" s="16">
        <v>3</v>
      </c>
      <c r="J225" s="17">
        <v>3784.74</v>
      </c>
      <c r="K225" s="17">
        <f t="shared" si="70"/>
        <v>681.25319999999988</v>
      </c>
      <c r="L225" s="17">
        <f t="shared" si="67"/>
        <v>4465.9931999999999</v>
      </c>
      <c r="M225" s="17">
        <f t="shared" si="68"/>
        <v>13397.979599999999</v>
      </c>
      <c r="N225" s="17">
        <v>2</v>
      </c>
      <c r="O225" s="31">
        <f t="shared" si="57"/>
        <v>1</v>
      </c>
      <c r="P225" s="17">
        <f t="shared" si="59"/>
        <v>4465.9931999999999</v>
      </c>
      <c r="Q225" s="6"/>
      <c r="R225" s="18">
        <f t="shared" si="69"/>
        <v>4465.9931999999999</v>
      </c>
    </row>
    <row r="226" spans="1:19" s="19" customFormat="1" ht="20.25" x14ac:dyDescent="0.3">
      <c r="A226" s="6">
        <f t="shared" si="63"/>
        <v>219</v>
      </c>
      <c r="B226" s="13">
        <v>43830</v>
      </c>
      <c r="C226" s="13">
        <v>43858</v>
      </c>
      <c r="D226" s="14" t="s">
        <v>143</v>
      </c>
      <c r="E226" s="14" t="s">
        <v>144</v>
      </c>
      <c r="F226" s="15">
        <f t="shared" si="56"/>
        <v>3</v>
      </c>
      <c r="G226" s="15">
        <f t="shared" si="58"/>
        <v>8885.58</v>
      </c>
      <c r="H226" s="6" t="s">
        <v>169</v>
      </c>
      <c r="I226" s="16">
        <v>10</v>
      </c>
      <c r="J226" s="17">
        <v>2961.86</v>
      </c>
      <c r="K226" s="17">
        <f t="shared" si="70"/>
        <v>533.13480000000004</v>
      </c>
      <c r="L226" s="17">
        <f>+J226</f>
        <v>2961.86</v>
      </c>
      <c r="M226" s="17">
        <f t="shared" si="68"/>
        <v>29618.600000000002</v>
      </c>
      <c r="N226" s="17">
        <f>1+1+1+2+1+1</f>
        <v>7</v>
      </c>
      <c r="O226" s="17">
        <f t="shared" si="57"/>
        <v>3</v>
      </c>
      <c r="P226" s="17">
        <f t="shared" si="59"/>
        <v>8885.58</v>
      </c>
      <c r="Q226" s="6" t="s">
        <v>259</v>
      </c>
      <c r="R226" s="18">
        <f t="shared" si="69"/>
        <v>2961.86</v>
      </c>
    </row>
    <row r="227" spans="1:19" s="19" customFormat="1" ht="20.25" x14ac:dyDescent="0.3">
      <c r="A227" s="6">
        <f t="shared" si="63"/>
        <v>220</v>
      </c>
      <c r="B227" s="13">
        <v>43830</v>
      </c>
      <c r="C227" s="13">
        <v>43858</v>
      </c>
      <c r="D227" s="14" t="s">
        <v>145</v>
      </c>
      <c r="E227" s="14" t="s">
        <v>146</v>
      </c>
      <c r="F227" s="15">
        <f t="shared" si="56"/>
        <v>6</v>
      </c>
      <c r="G227" s="15">
        <f t="shared" si="58"/>
        <v>22271.16</v>
      </c>
      <c r="H227" s="6" t="s">
        <v>169</v>
      </c>
      <c r="I227" s="16">
        <v>10</v>
      </c>
      <c r="J227" s="17">
        <v>3711.86</v>
      </c>
      <c r="K227" s="17">
        <f t="shared" si="70"/>
        <v>668.13480000000004</v>
      </c>
      <c r="L227" s="17">
        <f>+J227</f>
        <v>3711.86</v>
      </c>
      <c r="M227" s="17">
        <f t="shared" si="68"/>
        <v>37118.6</v>
      </c>
      <c r="N227" s="17">
        <f>1+1+1+1</f>
        <v>4</v>
      </c>
      <c r="O227" s="17">
        <f t="shared" si="57"/>
        <v>6</v>
      </c>
      <c r="P227" s="17">
        <f t="shared" si="59"/>
        <v>22271.16</v>
      </c>
      <c r="Q227" s="6" t="s">
        <v>259</v>
      </c>
      <c r="R227" s="18">
        <f t="shared" si="69"/>
        <v>3711.86</v>
      </c>
    </row>
    <row r="228" spans="1:19" s="19" customFormat="1" ht="20.25" x14ac:dyDescent="0.3">
      <c r="A228" s="6">
        <f t="shared" si="63"/>
        <v>221</v>
      </c>
      <c r="B228" s="13">
        <v>43830</v>
      </c>
      <c r="C228" s="13">
        <v>43858</v>
      </c>
      <c r="D228" s="14" t="s">
        <v>147</v>
      </c>
      <c r="E228" s="14" t="s">
        <v>148</v>
      </c>
      <c r="F228" s="15">
        <f t="shared" si="56"/>
        <v>5</v>
      </c>
      <c r="G228" s="15">
        <f t="shared" si="58"/>
        <v>18559.3</v>
      </c>
      <c r="H228" s="6" t="s">
        <v>169</v>
      </c>
      <c r="I228" s="16">
        <v>10</v>
      </c>
      <c r="J228" s="17">
        <v>3711.86</v>
      </c>
      <c r="K228" s="17">
        <f t="shared" si="70"/>
        <v>668.13480000000004</v>
      </c>
      <c r="L228" s="17">
        <f t="shared" ref="L228:L229" si="71">+J228</f>
        <v>3711.86</v>
      </c>
      <c r="M228" s="17">
        <f t="shared" si="68"/>
        <v>37118.6</v>
      </c>
      <c r="N228" s="17">
        <f>1+1+1+1+1</f>
        <v>5</v>
      </c>
      <c r="O228" s="17">
        <f t="shared" si="57"/>
        <v>5</v>
      </c>
      <c r="P228" s="17">
        <f t="shared" si="59"/>
        <v>18559.3</v>
      </c>
      <c r="Q228" s="6" t="s">
        <v>259</v>
      </c>
      <c r="R228" s="18">
        <f t="shared" si="69"/>
        <v>3711.8599999999997</v>
      </c>
    </row>
    <row r="229" spans="1:19" s="19" customFormat="1" ht="20.25" x14ac:dyDescent="0.3">
      <c r="A229" s="6">
        <f t="shared" si="63"/>
        <v>222</v>
      </c>
      <c r="B229" s="13">
        <v>43830</v>
      </c>
      <c r="C229" s="13">
        <v>43858</v>
      </c>
      <c r="D229" s="14" t="s">
        <v>149</v>
      </c>
      <c r="E229" s="14" t="s">
        <v>150</v>
      </c>
      <c r="F229" s="15">
        <f t="shared" si="56"/>
        <v>8</v>
      </c>
      <c r="G229" s="15">
        <f t="shared" si="58"/>
        <v>29694.880000000001</v>
      </c>
      <c r="H229" s="6" t="s">
        <v>169</v>
      </c>
      <c r="I229" s="16">
        <v>10</v>
      </c>
      <c r="J229" s="17">
        <v>3711.86</v>
      </c>
      <c r="K229" s="17">
        <f t="shared" si="70"/>
        <v>668.13480000000004</v>
      </c>
      <c r="L229" s="17">
        <f t="shared" si="71"/>
        <v>3711.86</v>
      </c>
      <c r="M229" s="17">
        <f t="shared" si="68"/>
        <v>37118.6</v>
      </c>
      <c r="N229" s="17">
        <f>1+1</f>
        <v>2</v>
      </c>
      <c r="O229" s="17">
        <f t="shared" si="57"/>
        <v>8</v>
      </c>
      <c r="P229" s="17">
        <f t="shared" si="59"/>
        <v>29694.880000000001</v>
      </c>
      <c r="Q229" s="6" t="s">
        <v>259</v>
      </c>
      <c r="R229" s="18">
        <f t="shared" si="69"/>
        <v>3711.86</v>
      </c>
    </row>
    <row r="230" spans="1:19" s="19" customFormat="1" ht="20.25" x14ac:dyDescent="0.3">
      <c r="A230" s="6">
        <f t="shared" si="63"/>
        <v>223</v>
      </c>
      <c r="B230" s="13">
        <v>43830</v>
      </c>
      <c r="C230" s="13">
        <v>43858</v>
      </c>
      <c r="D230" s="14" t="s">
        <v>151</v>
      </c>
      <c r="E230" s="14" t="s">
        <v>152</v>
      </c>
      <c r="F230" s="15">
        <f t="shared" si="56"/>
        <v>2</v>
      </c>
      <c r="G230" s="15">
        <f t="shared" si="58"/>
        <v>6771.18</v>
      </c>
      <c r="H230" s="6" t="s">
        <v>169</v>
      </c>
      <c r="I230" s="16">
        <v>3</v>
      </c>
      <c r="J230" s="17">
        <v>3385.59</v>
      </c>
      <c r="K230" s="17">
        <f t="shared" si="70"/>
        <v>609.40620000000001</v>
      </c>
      <c r="L230" s="17">
        <f>+J230</f>
        <v>3385.59</v>
      </c>
      <c r="M230" s="17">
        <f t="shared" si="68"/>
        <v>10156.77</v>
      </c>
      <c r="N230" s="17">
        <v>1</v>
      </c>
      <c r="O230" s="31">
        <f t="shared" si="57"/>
        <v>2</v>
      </c>
      <c r="P230" s="17">
        <f t="shared" si="59"/>
        <v>6771.18</v>
      </c>
      <c r="Q230" s="6" t="s">
        <v>259</v>
      </c>
      <c r="R230" s="18">
        <f t="shared" si="69"/>
        <v>3385.59</v>
      </c>
      <c r="S230" s="20"/>
    </row>
    <row r="231" spans="1:19" s="19" customFormat="1" ht="20.25" x14ac:dyDescent="0.3">
      <c r="A231" s="6">
        <f t="shared" si="63"/>
        <v>224</v>
      </c>
      <c r="B231" s="13">
        <v>43830</v>
      </c>
      <c r="C231" s="13">
        <v>43858</v>
      </c>
      <c r="D231" s="14" t="s">
        <v>153</v>
      </c>
      <c r="E231" s="14" t="s">
        <v>248</v>
      </c>
      <c r="F231" s="15">
        <f t="shared" si="56"/>
        <v>2</v>
      </c>
      <c r="G231" s="15">
        <f t="shared" si="58"/>
        <v>6771.18</v>
      </c>
      <c r="H231" s="6" t="s">
        <v>169</v>
      </c>
      <c r="I231" s="16">
        <v>3</v>
      </c>
      <c r="J231" s="17">
        <v>3385.59</v>
      </c>
      <c r="K231" s="17">
        <f t="shared" si="70"/>
        <v>609.40620000000001</v>
      </c>
      <c r="L231" s="17">
        <f t="shared" ref="L231:L233" si="72">+J231</f>
        <v>3385.59</v>
      </c>
      <c r="M231" s="17">
        <f t="shared" si="68"/>
        <v>10156.77</v>
      </c>
      <c r="N231" s="17">
        <v>1</v>
      </c>
      <c r="O231" s="31">
        <f t="shared" si="57"/>
        <v>2</v>
      </c>
      <c r="P231" s="17">
        <f t="shared" si="59"/>
        <v>6771.18</v>
      </c>
      <c r="Q231" s="6" t="s">
        <v>259</v>
      </c>
      <c r="R231" s="18">
        <f t="shared" si="69"/>
        <v>3385.59</v>
      </c>
      <c r="S231" s="20"/>
    </row>
    <row r="232" spans="1:19" s="19" customFormat="1" ht="20.25" x14ac:dyDescent="0.3">
      <c r="A232" s="6">
        <f t="shared" si="63"/>
        <v>225</v>
      </c>
      <c r="B232" s="13">
        <v>43830</v>
      </c>
      <c r="C232" s="13">
        <v>43858</v>
      </c>
      <c r="D232" s="14" t="s">
        <v>154</v>
      </c>
      <c r="E232" s="14" t="s">
        <v>249</v>
      </c>
      <c r="F232" s="15">
        <f t="shared" si="56"/>
        <v>2</v>
      </c>
      <c r="G232" s="15">
        <f t="shared" si="58"/>
        <v>6771.18</v>
      </c>
      <c r="H232" s="6" t="s">
        <v>169</v>
      </c>
      <c r="I232" s="16">
        <v>3</v>
      </c>
      <c r="J232" s="17">
        <v>3385.59</v>
      </c>
      <c r="K232" s="17">
        <f t="shared" si="70"/>
        <v>609.40620000000001</v>
      </c>
      <c r="L232" s="17">
        <f t="shared" si="72"/>
        <v>3385.59</v>
      </c>
      <c r="M232" s="17">
        <f t="shared" si="68"/>
        <v>10156.77</v>
      </c>
      <c r="N232" s="17">
        <v>1</v>
      </c>
      <c r="O232" s="31">
        <f t="shared" si="57"/>
        <v>2</v>
      </c>
      <c r="P232" s="17">
        <f t="shared" si="59"/>
        <v>6771.18</v>
      </c>
      <c r="Q232" s="6" t="s">
        <v>259</v>
      </c>
      <c r="R232" s="18">
        <f t="shared" si="69"/>
        <v>3385.59</v>
      </c>
      <c r="S232" s="20"/>
    </row>
    <row r="233" spans="1:19" s="19" customFormat="1" ht="24" customHeight="1" x14ac:dyDescent="0.3">
      <c r="A233" s="6">
        <f t="shared" si="63"/>
        <v>226</v>
      </c>
      <c r="B233" s="13">
        <v>43830</v>
      </c>
      <c r="C233" s="13">
        <v>43858</v>
      </c>
      <c r="D233" s="14" t="s">
        <v>250</v>
      </c>
      <c r="E233" s="14" t="s">
        <v>251</v>
      </c>
      <c r="F233" s="15">
        <f t="shared" si="56"/>
        <v>1</v>
      </c>
      <c r="G233" s="15">
        <f t="shared" si="58"/>
        <v>3385.59</v>
      </c>
      <c r="H233" s="6" t="s">
        <v>169</v>
      </c>
      <c r="I233" s="16">
        <v>3</v>
      </c>
      <c r="J233" s="17">
        <v>3385.59</v>
      </c>
      <c r="K233" s="17">
        <f t="shared" si="70"/>
        <v>609.40620000000001</v>
      </c>
      <c r="L233" s="17">
        <f t="shared" si="72"/>
        <v>3385.59</v>
      </c>
      <c r="M233" s="17">
        <f t="shared" si="68"/>
        <v>10156.77</v>
      </c>
      <c r="N233" s="17">
        <f>1+1</f>
        <v>2</v>
      </c>
      <c r="O233" s="31">
        <f t="shared" si="57"/>
        <v>1</v>
      </c>
      <c r="P233" s="17">
        <f t="shared" si="59"/>
        <v>3385.59</v>
      </c>
      <c r="Q233" s="6" t="s">
        <v>259</v>
      </c>
      <c r="R233" s="18">
        <f t="shared" si="69"/>
        <v>3385.59</v>
      </c>
      <c r="S233" s="20"/>
    </row>
    <row r="234" spans="1:19" s="19" customFormat="1" ht="24" customHeight="1" x14ac:dyDescent="0.3">
      <c r="A234" s="6">
        <f t="shared" si="63"/>
        <v>227</v>
      </c>
      <c r="B234" s="13">
        <v>43922</v>
      </c>
      <c r="C234" s="13">
        <v>44008</v>
      </c>
      <c r="D234" s="14" t="s">
        <v>279</v>
      </c>
      <c r="E234" s="14" t="s">
        <v>280</v>
      </c>
      <c r="F234" s="15">
        <f t="shared" si="56"/>
        <v>20</v>
      </c>
      <c r="G234" s="15">
        <f t="shared" si="58"/>
        <v>8999.86</v>
      </c>
      <c r="H234" s="6" t="s">
        <v>169</v>
      </c>
      <c r="I234" s="16">
        <v>30</v>
      </c>
      <c r="J234" s="17">
        <v>381.35</v>
      </c>
      <c r="K234" s="17">
        <f t="shared" si="70"/>
        <v>68.643000000000001</v>
      </c>
      <c r="L234" s="17">
        <f t="shared" si="67"/>
        <v>449.99300000000005</v>
      </c>
      <c r="M234" s="17">
        <f t="shared" si="68"/>
        <v>13499.79</v>
      </c>
      <c r="N234" s="17">
        <v>10</v>
      </c>
      <c r="O234" s="17">
        <f t="shared" si="57"/>
        <v>20</v>
      </c>
      <c r="P234" s="17">
        <f t="shared" si="59"/>
        <v>8999.86</v>
      </c>
      <c r="Q234" s="6" t="s">
        <v>281</v>
      </c>
      <c r="R234" s="18">
        <f t="shared" si="69"/>
        <v>449.99300000000005</v>
      </c>
      <c r="S234" s="20"/>
    </row>
    <row r="235" spans="1:19" s="19" customFormat="1" ht="24" customHeight="1" x14ac:dyDescent="0.3">
      <c r="A235" s="6">
        <f t="shared" si="63"/>
        <v>228</v>
      </c>
      <c r="B235" s="13">
        <v>43609</v>
      </c>
      <c r="C235" s="13">
        <v>43612</v>
      </c>
      <c r="D235" s="14" t="s">
        <v>155</v>
      </c>
      <c r="E235" s="14" t="s">
        <v>156</v>
      </c>
      <c r="F235" s="15">
        <f t="shared" si="56"/>
        <v>12</v>
      </c>
      <c r="G235" s="15">
        <f t="shared" si="58"/>
        <v>849.59999999999991</v>
      </c>
      <c r="H235" s="6" t="s">
        <v>169</v>
      </c>
      <c r="I235" s="16">
        <v>20</v>
      </c>
      <c r="J235" s="17">
        <v>60</v>
      </c>
      <c r="K235" s="17">
        <f t="shared" si="70"/>
        <v>10.799999999999999</v>
      </c>
      <c r="L235" s="17">
        <f t="shared" si="67"/>
        <v>70.8</v>
      </c>
      <c r="M235" s="17">
        <f t="shared" si="68"/>
        <v>1416</v>
      </c>
      <c r="N235" s="17">
        <f>3+1+1+1+1+1</f>
        <v>8</v>
      </c>
      <c r="O235" s="17">
        <f t="shared" si="57"/>
        <v>12</v>
      </c>
      <c r="P235" s="17">
        <f t="shared" si="59"/>
        <v>849.59999999999991</v>
      </c>
      <c r="Q235" s="6" t="s">
        <v>210</v>
      </c>
      <c r="R235" s="18">
        <f t="shared" si="69"/>
        <v>70.8</v>
      </c>
      <c r="S235" s="20"/>
    </row>
    <row r="236" spans="1:19" s="19" customFormat="1" ht="24" customHeight="1" x14ac:dyDescent="0.3">
      <c r="A236" s="6">
        <f t="shared" si="63"/>
        <v>229</v>
      </c>
      <c r="B236" s="13" t="s">
        <v>324</v>
      </c>
      <c r="C236" s="13" t="s">
        <v>325</v>
      </c>
      <c r="D236" s="14" t="s">
        <v>333</v>
      </c>
      <c r="E236" s="61" t="s">
        <v>334</v>
      </c>
      <c r="F236" s="15">
        <f t="shared" si="56"/>
        <v>22</v>
      </c>
      <c r="G236" s="15">
        <f t="shared" si="58"/>
        <v>1921.04</v>
      </c>
      <c r="H236" s="6" t="s">
        <v>191</v>
      </c>
      <c r="I236" s="62">
        <f>12+10</f>
        <v>22</v>
      </c>
      <c r="J236" s="17">
        <v>74</v>
      </c>
      <c r="K236" s="17">
        <f t="shared" si="70"/>
        <v>13.32</v>
      </c>
      <c r="L236" s="17">
        <f t="shared" si="67"/>
        <v>87.32</v>
      </c>
      <c r="M236" s="17">
        <f>$I236*$L236</f>
        <v>1921.04</v>
      </c>
      <c r="N236" s="17">
        <v>0</v>
      </c>
      <c r="O236" s="17">
        <f t="shared" si="57"/>
        <v>22</v>
      </c>
      <c r="P236" s="17">
        <f t="shared" si="59"/>
        <v>1921.04</v>
      </c>
      <c r="Q236" s="6" t="s">
        <v>330</v>
      </c>
      <c r="R236" s="18"/>
      <c r="S236" s="20"/>
    </row>
    <row r="237" spans="1:19" s="19" customFormat="1" ht="24" customHeight="1" x14ac:dyDescent="0.3">
      <c r="A237" s="6">
        <f t="shared" si="63"/>
        <v>230</v>
      </c>
      <c r="B237" s="13" t="s">
        <v>273</v>
      </c>
      <c r="C237" s="13">
        <v>43858</v>
      </c>
      <c r="D237" s="14" t="s">
        <v>292</v>
      </c>
      <c r="E237" s="14" t="s">
        <v>293</v>
      </c>
      <c r="F237" s="15">
        <f t="shared" si="56"/>
        <v>4</v>
      </c>
      <c r="G237" s="15">
        <f t="shared" si="58"/>
        <v>4800.24</v>
      </c>
      <c r="H237" s="6" t="s">
        <v>226</v>
      </c>
      <c r="I237" s="16">
        <v>8</v>
      </c>
      <c r="J237" s="17">
        <v>1017</v>
      </c>
      <c r="K237" s="17">
        <f t="shared" si="70"/>
        <v>183.06</v>
      </c>
      <c r="L237" s="17">
        <f t="shared" si="67"/>
        <v>1200.06</v>
      </c>
      <c r="M237" s="17">
        <f t="shared" si="68"/>
        <v>9600.48</v>
      </c>
      <c r="N237" s="17">
        <v>4</v>
      </c>
      <c r="O237" s="17">
        <f t="shared" si="57"/>
        <v>4</v>
      </c>
      <c r="P237" s="17">
        <f t="shared" si="59"/>
        <v>4800.24</v>
      </c>
      <c r="Q237" s="6" t="s">
        <v>271</v>
      </c>
      <c r="R237" s="18">
        <f>P237/O237</f>
        <v>1200.06</v>
      </c>
      <c r="S237" s="20"/>
    </row>
    <row r="238" spans="1:19" s="19" customFormat="1" ht="24" customHeight="1" x14ac:dyDescent="0.3">
      <c r="A238" s="6">
        <f t="shared" si="63"/>
        <v>231</v>
      </c>
      <c r="B238" s="13" t="s">
        <v>430</v>
      </c>
      <c r="C238" s="13">
        <v>44214</v>
      </c>
      <c r="D238" s="14" t="s">
        <v>432</v>
      </c>
      <c r="E238" s="14" t="s">
        <v>433</v>
      </c>
      <c r="F238" s="15">
        <f t="shared" si="56"/>
        <v>24</v>
      </c>
      <c r="G238" s="15">
        <f t="shared" si="58"/>
        <v>1699.1999999999998</v>
      </c>
      <c r="H238" s="6" t="s">
        <v>226</v>
      </c>
      <c r="I238" s="16">
        <v>24</v>
      </c>
      <c r="J238" s="17">
        <v>60</v>
      </c>
      <c r="K238" s="17">
        <f t="shared" si="70"/>
        <v>10.799999999999999</v>
      </c>
      <c r="L238" s="17">
        <f t="shared" si="67"/>
        <v>70.8</v>
      </c>
      <c r="M238" s="17">
        <f t="shared" si="68"/>
        <v>1699.1999999999998</v>
      </c>
      <c r="N238" s="17">
        <v>0</v>
      </c>
      <c r="O238" s="17">
        <f t="shared" si="57"/>
        <v>24</v>
      </c>
      <c r="P238" s="17">
        <f t="shared" si="59"/>
        <v>1699.1999999999998</v>
      </c>
      <c r="Q238" s="6" t="s">
        <v>431</v>
      </c>
      <c r="R238" s="18"/>
      <c r="S238" s="20"/>
    </row>
    <row r="239" spans="1:19" s="19" customFormat="1" ht="24" customHeight="1" x14ac:dyDescent="0.3">
      <c r="A239" s="6">
        <f t="shared" si="63"/>
        <v>232</v>
      </c>
      <c r="B239" s="13" t="s">
        <v>430</v>
      </c>
      <c r="C239" s="13">
        <v>44214</v>
      </c>
      <c r="D239" s="14" t="s">
        <v>434</v>
      </c>
      <c r="E239" s="14" t="s">
        <v>436</v>
      </c>
      <c r="F239" s="15">
        <f t="shared" si="56"/>
        <v>24</v>
      </c>
      <c r="G239" s="15">
        <f t="shared" si="58"/>
        <v>1699.1999999999998</v>
      </c>
      <c r="H239" s="6" t="s">
        <v>226</v>
      </c>
      <c r="I239" s="16">
        <v>24</v>
      </c>
      <c r="J239" s="17">
        <v>60</v>
      </c>
      <c r="K239" s="17">
        <f t="shared" si="70"/>
        <v>10.799999999999999</v>
      </c>
      <c r="L239" s="17">
        <f t="shared" si="67"/>
        <v>70.8</v>
      </c>
      <c r="M239" s="17">
        <f t="shared" si="68"/>
        <v>1699.1999999999998</v>
      </c>
      <c r="N239" s="17">
        <v>0</v>
      </c>
      <c r="O239" s="17">
        <f t="shared" si="57"/>
        <v>24</v>
      </c>
      <c r="P239" s="17">
        <f t="shared" si="59"/>
        <v>1699.1999999999998</v>
      </c>
      <c r="Q239" s="6" t="s">
        <v>431</v>
      </c>
      <c r="R239" s="18"/>
      <c r="S239" s="20"/>
    </row>
    <row r="240" spans="1:19" s="19" customFormat="1" ht="24" customHeight="1" x14ac:dyDescent="0.3">
      <c r="A240" s="6">
        <f t="shared" si="63"/>
        <v>233</v>
      </c>
      <c r="B240" s="13" t="s">
        <v>430</v>
      </c>
      <c r="C240" s="13">
        <v>44214</v>
      </c>
      <c r="D240" s="14" t="s">
        <v>435</v>
      </c>
      <c r="E240" s="14" t="s">
        <v>437</v>
      </c>
      <c r="F240" s="15">
        <f t="shared" si="56"/>
        <v>24</v>
      </c>
      <c r="G240" s="15">
        <f t="shared" si="58"/>
        <v>3115.2000000000003</v>
      </c>
      <c r="H240" s="6" t="s">
        <v>226</v>
      </c>
      <c r="I240" s="16">
        <v>24</v>
      </c>
      <c r="J240" s="17">
        <v>110</v>
      </c>
      <c r="K240" s="17">
        <f t="shared" si="70"/>
        <v>19.8</v>
      </c>
      <c r="L240" s="17">
        <f t="shared" si="67"/>
        <v>129.80000000000001</v>
      </c>
      <c r="M240" s="17">
        <f t="shared" si="68"/>
        <v>3115.2000000000003</v>
      </c>
      <c r="N240" s="17">
        <v>0</v>
      </c>
      <c r="O240" s="17">
        <f t="shared" si="57"/>
        <v>24</v>
      </c>
      <c r="P240" s="17">
        <f t="shared" si="59"/>
        <v>3115.2000000000003</v>
      </c>
      <c r="Q240" s="6" t="s">
        <v>431</v>
      </c>
      <c r="R240" s="18"/>
      <c r="S240" s="20"/>
    </row>
    <row r="241" spans="1:19" s="19" customFormat="1" ht="24" customHeight="1" x14ac:dyDescent="0.3">
      <c r="A241" s="6">
        <f t="shared" si="63"/>
        <v>234</v>
      </c>
      <c r="B241" s="13" t="s">
        <v>430</v>
      </c>
      <c r="C241" s="13">
        <v>44214</v>
      </c>
      <c r="D241" s="14" t="s">
        <v>438</v>
      </c>
      <c r="E241" s="14" t="s">
        <v>439</v>
      </c>
      <c r="F241" s="15">
        <f t="shared" si="56"/>
        <v>15</v>
      </c>
      <c r="G241" s="15">
        <f t="shared" si="58"/>
        <v>3540</v>
      </c>
      <c r="H241" s="6" t="s">
        <v>226</v>
      </c>
      <c r="I241" s="16">
        <v>15</v>
      </c>
      <c r="J241" s="17">
        <v>200</v>
      </c>
      <c r="K241" s="17">
        <f t="shared" si="70"/>
        <v>36</v>
      </c>
      <c r="L241" s="17">
        <f t="shared" si="67"/>
        <v>236</v>
      </c>
      <c r="M241" s="17">
        <f t="shared" si="68"/>
        <v>3540</v>
      </c>
      <c r="N241" s="17">
        <v>0</v>
      </c>
      <c r="O241" s="17">
        <f t="shared" si="57"/>
        <v>15</v>
      </c>
      <c r="P241" s="17">
        <f t="shared" si="59"/>
        <v>3540</v>
      </c>
      <c r="Q241" s="6" t="s">
        <v>431</v>
      </c>
      <c r="R241" s="18"/>
      <c r="S241" s="20"/>
    </row>
    <row r="242" spans="1:19" s="19" customFormat="1" ht="24" customHeight="1" x14ac:dyDescent="0.3">
      <c r="A242" s="6">
        <f t="shared" si="63"/>
        <v>235</v>
      </c>
      <c r="B242" s="13" t="s">
        <v>430</v>
      </c>
      <c r="C242" s="13">
        <v>44214</v>
      </c>
      <c r="D242" s="14" t="s">
        <v>440</v>
      </c>
      <c r="E242" s="14" t="s">
        <v>443</v>
      </c>
      <c r="F242" s="15">
        <f t="shared" si="56"/>
        <v>11</v>
      </c>
      <c r="G242" s="15">
        <f t="shared" si="58"/>
        <v>3894</v>
      </c>
      <c r="H242" s="6" t="s">
        <v>226</v>
      </c>
      <c r="I242" s="16">
        <v>12</v>
      </c>
      <c r="J242" s="17">
        <v>300</v>
      </c>
      <c r="K242" s="17">
        <f t="shared" si="70"/>
        <v>54</v>
      </c>
      <c r="L242" s="17">
        <f t="shared" si="67"/>
        <v>354</v>
      </c>
      <c r="M242" s="17">
        <f t="shared" si="68"/>
        <v>4248</v>
      </c>
      <c r="N242" s="17">
        <v>1</v>
      </c>
      <c r="O242" s="17">
        <f t="shared" si="57"/>
        <v>11</v>
      </c>
      <c r="P242" s="17">
        <f t="shared" si="59"/>
        <v>3894</v>
      </c>
      <c r="Q242" s="6" t="s">
        <v>431</v>
      </c>
      <c r="R242" s="18"/>
      <c r="S242" s="20"/>
    </row>
    <row r="243" spans="1:19" s="19" customFormat="1" ht="24" customHeight="1" x14ac:dyDescent="0.3">
      <c r="A243" s="6">
        <f t="shared" si="63"/>
        <v>236</v>
      </c>
      <c r="B243" s="13" t="s">
        <v>430</v>
      </c>
      <c r="C243" s="13">
        <v>44214</v>
      </c>
      <c r="D243" s="14" t="s">
        <v>441</v>
      </c>
      <c r="E243" s="14" t="s">
        <v>444</v>
      </c>
      <c r="F243" s="15">
        <f t="shared" si="56"/>
        <v>12</v>
      </c>
      <c r="G243" s="15">
        <f t="shared" si="58"/>
        <v>5664</v>
      </c>
      <c r="H243" s="6" t="s">
        <v>226</v>
      </c>
      <c r="I243" s="16">
        <v>12</v>
      </c>
      <c r="J243" s="17">
        <v>400</v>
      </c>
      <c r="K243" s="17">
        <f t="shared" si="70"/>
        <v>72</v>
      </c>
      <c r="L243" s="17">
        <f t="shared" si="67"/>
        <v>472</v>
      </c>
      <c r="M243" s="17">
        <f t="shared" si="68"/>
        <v>5664</v>
      </c>
      <c r="N243" s="17">
        <v>0</v>
      </c>
      <c r="O243" s="17">
        <f t="shared" si="57"/>
        <v>12</v>
      </c>
      <c r="P243" s="17">
        <f t="shared" si="59"/>
        <v>5664</v>
      </c>
      <c r="Q243" s="6" t="s">
        <v>431</v>
      </c>
      <c r="R243" s="18"/>
      <c r="S243" s="20"/>
    </row>
    <row r="244" spans="1:19" s="19" customFormat="1" ht="24" customHeight="1" x14ac:dyDescent="0.3">
      <c r="A244" s="6">
        <f t="shared" si="63"/>
        <v>237</v>
      </c>
      <c r="B244" s="13" t="s">
        <v>430</v>
      </c>
      <c r="C244" s="13">
        <v>44214</v>
      </c>
      <c r="D244" s="14" t="s">
        <v>442</v>
      </c>
      <c r="E244" s="14" t="s">
        <v>445</v>
      </c>
      <c r="F244" s="15">
        <f t="shared" si="56"/>
        <v>12</v>
      </c>
      <c r="G244" s="15">
        <f t="shared" si="58"/>
        <v>7080</v>
      </c>
      <c r="H244" s="6" t="s">
        <v>226</v>
      </c>
      <c r="I244" s="16">
        <v>12</v>
      </c>
      <c r="J244" s="17">
        <v>500</v>
      </c>
      <c r="K244" s="17">
        <f t="shared" si="70"/>
        <v>90</v>
      </c>
      <c r="L244" s="17">
        <f t="shared" si="67"/>
        <v>590</v>
      </c>
      <c r="M244" s="17">
        <f t="shared" si="68"/>
        <v>7080</v>
      </c>
      <c r="N244" s="17">
        <v>0</v>
      </c>
      <c r="O244" s="17">
        <f t="shared" si="57"/>
        <v>12</v>
      </c>
      <c r="P244" s="17">
        <f t="shared" si="59"/>
        <v>7080</v>
      </c>
      <c r="Q244" s="6" t="s">
        <v>431</v>
      </c>
      <c r="R244" s="18"/>
      <c r="S244" s="20"/>
    </row>
    <row r="245" spans="1:19" s="19" customFormat="1" ht="21" thickBot="1" x14ac:dyDescent="0.35">
      <c r="A245" s="6"/>
      <c r="B245" s="23"/>
      <c r="C245" s="23"/>
      <c r="D245" s="23"/>
      <c r="E245" s="23"/>
      <c r="F245" s="24"/>
      <c r="G245" s="30">
        <f>SUM(G8:G244)</f>
        <v>955672.11150109535</v>
      </c>
      <c r="H245" s="6"/>
      <c r="I245" s="16"/>
      <c r="J245" s="25"/>
      <c r="K245" s="6"/>
      <c r="L245" s="6"/>
      <c r="M245" s="17"/>
      <c r="N245" s="6"/>
      <c r="O245" s="17"/>
      <c r="P245" s="26">
        <f>SUM(P8:P244)</f>
        <v>955672.11150109535</v>
      </c>
      <c r="Q245" s="6"/>
      <c r="R245" s="18"/>
      <c r="S245" s="20"/>
    </row>
    <row r="246" spans="1:19" s="19" customFormat="1" ht="29.25" thickTop="1" x14ac:dyDescent="0.45">
      <c r="A246" s="6"/>
      <c r="B246" s="2"/>
      <c r="C246" s="2"/>
      <c r="D246" s="2"/>
      <c r="E246" s="2"/>
      <c r="F246" s="3"/>
      <c r="G246" s="29"/>
      <c r="H246" s="4"/>
      <c r="I246" s="5"/>
      <c r="J246" s="4"/>
      <c r="K246" s="4"/>
      <c r="L246" s="4"/>
      <c r="M246" s="4"/>
      <c r="N246" s="4"/>
      <c r="O246" s="27"/>
      <c r="P246" s="4"/>
      <c r="Q246" s="4"/>
      <c r="R246" s="18"/>
    </row>
    <row r="247" spans="1:19" s="19" customFormat="1" ht="28.5" x14ac:dyDescent="0.45">
      <c r="A247" s="6"/>
      <c r="B247" s="28"/>
      <c r="C247" s="33" t="s">
        <v>295</v>
      </c>
      <c r="D247" s="28"/>
      <c r="E247" s="28"/>
      <c r="F247" s="82" t="s">
        <v>449</v>
      </c>
      <c r="G247" s="82"/>
      <c r="H247" s="4"/>
      <c r="I247" s="5"/>
      <c r="J247" s="4"/>
      <c r="K247" s="4"/>
      <c r="L247" s="4"/>
      <c r="M247" s="4"/>
      <c r="N247" s="4"/>
      <c r="O247" s="4"/>
      <c r="P247" s="4"/>
      <c r="Q247" s="4"/>
      <c r="R247" s="18"/>
      <c r="S247" s="20"/>
    </row>
    <row r="248" spans="1:19" ht="28.5" x14ac:dyDescent="0.45">
      <c r="B248" s="2"/>
      <c r="C248" s="33" t="s">
        <v>446</v>
      </c>
      <c r="D248" s="2"/>
      <c r="E248" s="2"/>
      <c r="F248" s="82" t="s">
        <v>447</v>
      </c>
      <c r="G248" s="82"/>
    </row>
    <row r="249" spans="1:19" ht="28.5" x14ac:dyDescent="0.45">
      <c r="B249" s="2"/>
      <c r="C249" s="33" t="s">
        <v>296</v>
      </c>
      <c r="D249" s="2"/>
      <c r="E249" s="2"/>
      <c r="F249" s="82" t="s">
        <v>448</v>
      </c>
      <c r="G249" s="82"/>
    </row>
    <row r="250" spans="1:19" ht="28.5" x14ac:dyDescent="0.45">
      <c r="B250" s="2"/>
      <c r="C250" s="2"/>
      <c r="D250" s="2"/>
      <c r="E250" s="2"/>
      <c r="F250" s="3"/>
      <c r="G250" s="3"/>
    </row>
    <row r="251" spans="1:19" ht="28.5" x14ac:dyDescent="0.45">
      <c r="B251" s="2"/>
      <c r="C251" s="2"/>
      <c r="D251" s="2"/>
      <c r="E251" s="2"/>
      <c r="F251" s="3"/>
      <c r="G251" s="3"/>
    </row>
  </sheetData>
  <autoFilter ref="B7:Q245" xr:uid="{DC7FBCB2-262A-4DF2-AC2E-ED50035F80A0}">
    <sortState ref="B183:Q192">
      <sortCondition descending="1" ref="E7:E245"/>
    </sortState>
  </autoFilter>
  <mergeCells count="9">
    <mergeCell ref="F247:G247"/>
    <mergeCell ref="F248:G248"/>
    <mergeCell ref="F249:G249"/>
    <mergeCell ref="B2:P2"/>
    <mergeCell ref="B3:P3"/>
    <mergeCell ref="B4:P4"/>
    <mergeCell ref="B5:P5"/>
    <mergeCell ref="H6:I6"/>
    <mergeCell ref="J6:K6"/>
  </mergeCells>
  <pageMargins left="0.7" right="0.7" top="0.75" bottom="0.75" header="0.3" footer="0.3"/>
  <pageSetup scale="3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Inventario de Materiales</vt:lpstr>
      <vt:lpstr>Actualizado</vt:lpstr>
      <vt:lpstr>'Inventario de Materiales'!Área_de_impresión</vt:lpstr>
      <vt:lpstr>'Inventario de Materiales'!Títulos_a_imprimir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Brenda Matos</cp:lastModifiedBy>
  <cp:lastPrinted>2023-10-03T17:55:34Z</cp:lastPrinted>
  <dcterms:created xsi:type="dcterms:W3CDTF">2019-02-06T17:03:52Z</dcterms:created>
  <dcterms:modified xsi:type="dcterms:W3CDTF">2023-10-03T17:55:38Z</dcterms:modified>
</cp:coreProperties>
</file>